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OneDrive_1_04-08-2025\"/>
    </mc:Choice>
  </mc:AlternateContent>
  <xr:revisionPtr revIDLastSave="0" documentId="13_ncr:1_{1D62BB96-52AE-41E1-ADDC-774D945E2EAC}" xr6:coauthVersionLast="47" xr6:coauthVersionMax="47" xr10:uidLastSave="{00000000-0000-0000-0000-000000000000}"/>
  <bookViews>
    <workbookView xWindow="-108" yWindow="-108" windowWidth="23256" windowHeight="12456" firstSheet="2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Daily KPI" sheetId="21" r:id="rId5"/>
    <sheet name="Basic Data" sheetId="2" r:id="rId6"/>
    <sheet name="Raw Data" sheetId="1" r:id="rId7"/>
    <sheet name="JMR" sheetId="23" r:id="rId8"/>
    <sheet name="Inv_SY" sheetId="6" r:id="rId9"/>
    <sheet name="Inv_SY_Dev" sheetId="7" r:id="rId10"/>
    <sheet name="Plant BD" sheetId="26" r:id="rId11"/>
    <sheet name="Grid BD" sheetId="25" r:id="rId12"/>
    <sheet name="Mod_CL" sheetId="19" r:id="rId13"/>
    <sheet name="Curtailment Records" sheetId="24" r:id="rId14"/>
    <sheet name="Grass_Cutting" sheetId="15" r:id="rId15"/>
    <sheet name="Modelling New" sheetId="22" r:id="rId16"/>
    <sheet name="Spare_Consumable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C45" i="7"/>
  <c r="F45" i="7"/>
  <c r="G45" i="7" s="1"/>
  <c r="H45" i="7"/>
  <c r="A45" i="7" s="1"/>
  <c r="H46" i="7"/>
  <c r="H47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Z37" i="6" s="1"/>
  <c r="W37" i="6"/>
  <c r="X37" i="6"/>
  <c r="Y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Z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Z41" i="6" s="1"/>
  <c r="W41" i="6"/>
  <c r="X41" i="6"/>
  <c r="Y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Z42" i="6" s="1"/>
  <c r="W42" i="6"/>
  <c r="X42" i="6"/>
  <c r="Y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Y43" i="6" s="1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Z44" i="6" s="1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Z45" i="6" s="1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Z47" i="6" s="1"/>
  <c r="W47" i="6"/>
  <c r="X47" i="6"/>
  <c r="Y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Y48" i="6" s="1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Y49" i="6" s="1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Z53" i="6" s="1"/>
  <c r="W53" i="6"/>
  <c r="X53" i="6"/>
  <c r="Y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Z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Z58" i="6" s="1"/>
  <c r="X58" i="6"/>
  <c r="Y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Y59" i="6" s="1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Y60" i="6" s="1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Y61" i="6" s="1"/>
  <c r="W61" i="6"/>
  <c r="X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Z63" i="6" s="1"/>
  <c r="W63" i="6"/>
  <c r="X63" i="6"/>
  <c r="Y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Y64" i="6" s="1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Z65" i="6" s="1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Z66" i="6" s="1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Z69" i="6" s="1"/>
  <c r="W69" i="6"/>
  <c r="X69" i="6"/>
  <c r="Y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Z74" i="6" s="1"/>
  <c r="X74" i="6"/>
  <c r="Y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Y75" i="6" s="1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Y76" i="6" s="1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Y77" i="6" s="1"/>
  <c r="W77" i="6"/>
  <c r="X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Z79" i="6" s="1"/>
  <c r="W79" i="6"/>
  <c r="X79" i="6"/>
  <c r="Y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Y80" i="6" s="1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Y81" i="6" s="1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Y82" i="6" s="1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Z85" i="6" s="1"/>
  <c r="W85" i="6"/>
  <c r="X85" i="6"/>
  <c r="Y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Z90" i="6" s="1"/>
  <c r="X90" i="6"/>
  <c r="Y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Y91" i="6" s="1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Y92" i="6" s="1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Y93" i="6" s="1"/>
  <c r="W93" i="6"/>
  <c r="X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Z95" i="6" s="1"/>
  <c r="W95" i="6"/>
  <c r="X95" i="6"/>
  <c r="Y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Y96" i="6" s="1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Y97" i="6" s="1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Y98" i="6" s="1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Z101" i="6" s="1"/>
  <c r="W101" i="6"/>
  <c r="X101" i="6"/>
  <c r="Y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Z106" i="6" s="1"/>
  <c r="W106" i="6"/>
  <c r="X106" i="6"/>
  <c r="Y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Y107" i="6" s="1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Y108" i="6" s="1"/>
  <c r="W108" i="6"/>
  <c r="X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Y109" i="6" s="1"/>
  <c r="W109" i="6"/>
  <c r="X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Z111" i="6" s="1"/>
  <c r="W111" i="6"/>
  <c r="X111" i="6"/>
  <c r="Y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Y112" i="6" s="1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Y113" i="6" s="1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Z117" i="6" s="1"/>
  <c r="W117" i="6"/>
  <c r="X117" i="6"/>
  <c r="Y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Z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Z122" i="6" s="1"/>
  <c r="W122" i="6"/>
  <c r="X122" i="6"/>
  <c r="Y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X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Y124" i="6" s="1"/>
  <c r="W124" i="6"/>
  <c r="X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Z127" i="6" s="1"/>
  <c r="W127" i="6"/>
  <c r="X127" i="6"/>
  <c r="Y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Y128" i="6" s="1"/>
  <c r="W128" i="6"/>
  <c r="X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Z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Z133" i="6" s="1"/>
  <c r="W133" i="6"/>
  <c r="X133" i="6"/>
  <c r="Y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N72" i="25"/>
  <c r="C72" i="25"/>
  <c r="D72" i="25"/>
  <c r="G72" i="25"/>
  <c r="H72" i="25"/>
  <c r="I72" i="25"/>
  <c r="J72" i="25"/>
  <c r="K72" i="25"/>
  <c r="Y72" i="25"/>
  <c r="AC72" i="25" s="1"/>
  <c r="Z72" i="25"/>
  <c r="AE72" i="25"/>
  <c r="AK131" i="1"/>
  <c r="Y131" i="1"/>
  <c r="X131" i="1"/>
  <c r="W131" i="1"/>
  <c r="AI131" i="1" s="1"/>
  <c r="E6" i="23"/>
  <c r="H6" i="23"/>
  <c r="J6" i="23"/>
  <c r="AL130" i="1"/>
  <c r="AL129" i="1"/>
  <c r="AL128" i="1"/>
  <c r="AL127" i="1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D225" i="26"/>
  <c r="D226" i="26"/>
  <c r="D227" i="26"/>
  <c r="D228" i="26"/>
  <c r="D229" i="26"/>
  <c r="D230" i="26"/>
  <c r="D231" i="26"/>
  <c r="D232" i="26"/>
  <c r="D233" i="26"/>
  <c r="D234" i="26"/>
  <c r="D235" i="26"/>
  <c r="D236" i="26"/>
  <c r="D237" i="26"/>
  <c r="H230" i="26"/>
  <c r="I225" i="26"/>
  <c r="K225" i="26" s="1"/>
  <c r="I226" i="26"/>
  <c r="I227" i="26"/>
  <c r="I228" i="26"/>
  <c r="I229" i="26"/>
  <c r="K229" i="26" s="1"/>
  <c r="I230" i="26"/>
  <c r="I231" i="26"/>
  <c r="I232" i="26"/>
  <c r="I233" i="26"/>
  <c r="K233" i="26" s="1"/>
  <c r="I234" i="26"/>
  <c r="I235" i="26"/>
  <c r="I236" i="26"/>
  <c r="I237" i="26"/>
  <c r="J225" i="26"/>
  <c r="J226" i="26"/>
  <c r="K226" i="26" s="1"/>
  <c r="J227" i="26"/>
  <c r="K227" i="26" s="1"/>
  <c r="J228" i="26"/>
  <c r="K228" i="26" s="1"/>
  <c r="J229" i="26"/>
  <c r="J230" i="26"/>
  <c r="K230" i="26" s="1"/>
  <c r="J231" i="26"/>
  <c r="K231" i="26" s="1"/>
  <c r="J232" i="26"/>
  <c r="J233" i="26"/>
  <c r="J234" i="26"/>
  <c r="K234" i="26" s="1"/>
  <c r="J235" i="26"/>
  <c r="K235" i="26" s="1"/>
  <c r="J236" i="26"/>
  <c r="K236" i="26" s="1"/>
  <c r="J237" i="26"/>
  <c r="K237" i="26"/>
  <c r="U225" i="26"/>
  <c r="U226" i="26"/>
  <c r="U227" i="26"/>
  <c r="U228" i="26"/>
  <c r="U229" i="26"/>
  <c r="U230" i="26"/>
  <c r="U231" i="26"/>
  <c r="U232" i="26"/>
  <c r="U233" i="26"/>
  <c r="U234" i="26"/>
  <c r="U235" i="26"/>
  <c r="U236" i="26"/>
  <c r="U237" i="26"/>
  <c r="V225" i="26"/>
  <c r="V226" i="26"/>
  <c r="V227" i="26"/>
  <c r="V228" i="26"/>
  <c r="V229" i="26"/>
  <c r="AK229" i="26" s="1"/>
  <c r="V230" i="26"/>
  <c r="V231" i="26"/>
  <c r="V232" i="26"/>
  <c r="V233" i="26"/>
  <c r="V234" i="26"/>
  <c r="V235" i="26"/>
  <c r="V236" i="26"/>
  <c r="V237" i="26"/>
  <c r="AK237" i="26" s="1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F225" i="26"/>
  <c r="AF226" i="26"/>
  <c r="AF227" i="26"/>
  <c r="AF228" i="26"/>
  <c r="AF229" i="26"/>
  <c r="AF230" i="26"/>
  <c r="AF231" i="26"/>
  <c r="AF232" i="26"/>
  <c r="AF233" i="26"/>
  <c r="AF234" i="26"/>
  <c r="AF235" i="26"/>
  <c r="AF236" i="26"/>
  <c r="AF237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H225" i="26"/>
  <c r="AK225" i="26" s="1"/>
  <c r="AH226" i="26"/>
  <c r="AH227" i="26"/>
  <c r="AK227" i="26" s="1"/>
  <c r="AH228" i="26"/>
  <c r="AH229" i="26"/>
  <c r="AH230" i="26"/>
  <c r="AH231" i="26"/>
  <c r="AK231" i="26" s="1"/>
  <c r="AH232" i="26"/>
  <c r="AK232" i="26" s="1"/>
  <c r="AH233" i="26"/>
  <c r="AK233" i="26" s="1"/>
  <c r="AH234" i="26"/>
  <c r="AH235" i="26"/>
  <c r="AK235" i="26" s="1"/>
  <c r="AH236" i="26"/>
  <c r="AH237" i="26"/>
  <c r="AK226" i="26"/>
  <c r="AK228" i="26"/>
  <c r="AK230" i="26"/>
  <c r="AK234" i="26"/>
  <c r="AK236" i="26"/>
  <c r="AM225" i="26"/>
  <c r="AM229" i="26"/>
  <c r="AM230" i="26"/>
  <c r="AM231" i="26"/>
  <c r="AM233" i="26"/>
  <c r="AM237" i="26"/>
  <c r="G225" i="26"/>
  <c r="H225" i="26" s="1"/>
  <c r="G226" i="26"/>
  <c r="AM226" i="26" s="1"/>
  <c r="G227" i="26"/>
  <c r="AM227" i="26" s="1"/>
  <c r="G228" i="26"/>
  <c r="AM228" i="26" s="1"/>
  <c r="G229" i="26"/>
  <c r="H229" i="26" s="1"/>
  <c r="G230" i="26"/>
  <c r="G231" i="26"/>
  <c r="H231" i="26" s="1"/>
  <c r="G232" i="26"/>
  <c r="AM232" i="26" s="1"/>
  <c r="G233" i="26"/>
  <c r="H233" i="26" s="1"/>
  <c r="G234" i="26"/>
  <c r="AM234" i="26" s="1"/>
  <c r="G235" i="26"/>
  <c r="AM235" i="26" s="1"/>
  <c r="G236" i="26"/>
  <c r="AM236" i="26" s="1"/>
  <c r="G237" i="26"/>
  <c r="H237" i="26" s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E131" i="1"/>
  <c r="F131" i="1" s="1"/>
  <c r="E132" i="1"/>
  <c r="F132" i="1" s="1"/>
  <c r="E133" i="1"/>
  <c r="E134" i="1"/>
  <c r="E135" i="1"/>
  <c r="E136" i="1"/>
  <c r="E137" i="1"/>
  <c r="E138" i="1"/>
  <c r="F138" i="1" s="1"/>
  <c r="E139" i="1"/>
  <c r="F139" i="1" s="1"/>
  <c r="E140" i="1"/>
  <c r="F140" i="1" s="1"/>
  <c r="E141" i="1"/>
  <c r="E142" i="1"/>
  <c r="E143" i="1"/>
  <c r="E144" i="1"/>
  <c r="E145" i="1"/>
  <c r="E146" i="1"/>
  <c r="F146" i="1" s="1"/>
  <c r="E147" i="1"/>
  <c r="F147" i="1" s="1"/>
  <c r="E148" i="1"/>
  <c r="F148" i="1" s="1"/>
  <c r="E149" i="1"/>
  <c r="E150" i="1"/>
  <c r="E151" i="1"/>
  <c r="E152" i="1"/>
  <c r="E153" i="1"/>
  <c r="E154" i="1"/>
  <c r="F154" i="1" s="1"/>
  <c r="E155" i="1"/>
  <c r="F155" i="1" s="1"/>
  <c r="E156" i="1"/>
  <c r="F156" i="1" s="1"/>
  <c r="E157" i="1"/>
  <c r="E158" i="1"/>
  <c r="E159" i="1"/>
  <c r="E160" i="1"/>
  <c r="E161" i="1"/>
  <c r="E162" i="1"/>
  <c r="F162" i="1" s="1"/>
  <c r="E163" i="1"/>
  <c r="F163" i="1" s="1"/>
  <c r="E164" i="1"/>
  <c r="F164" i="1" s="1"/>
  <c r="E165" i="1"/>
  <c r="F133" i="1"/>
  <c r="F134" i="1"/>
  <c r="F135" i="1"/>
  <c r="F136" i="1"/>
  <c r="F137" i="1"/>
  <c r="F141" i="1"/>
  <c r="F142" i="1"/>
  <c r="F143" i="1"/>
  <c r="F144" i="1"/>
  <c r="F145" i="1"/>
  <c r="F149" i="1"/>
  <c r="F150" i="1"/>
  <c r="F151" i="1"/>
  <c r="F152" i="1"/>
  <c r="F153" i="1"/>
  <c r="F157" i="1"/>
  <c r="F158" i="1"/>
  <c r="F159" i="1"/>
  <c r="F160" i="1"/>
  <c r="F161" i="1"/>
  <c r="F165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J131" i="1"/>
  <c r="AL131" i="1" s="1"/>
  <c r="AJ132" i="1"/>
  <c r="AL132" i="1" s="1"/>
  <c r="AJ133" i="1"/>
  <c r="AJ134" i="1"/>
  <c r="AL134" i="1" s="1"/>
  <c r="AJ135" i="1"/>
  <c r="AL135" i="1" s="1"/>
  <c r="AJ136" i="1"/>
  <c r="AL136" i="1" s="1"/>
  <c r="AJ137" i="1"/>
  <c r="AJ138" i="1"/>
  <c r="AJ139" i="1"/>
  <c r="AJ140" i="1"/>
  <c r="AJ141" i="1"/>
  <c r="AJ142" i="1"/>
  <c r="AL142" i="1" s="1"/>
  <c r="AJ143" i="1"/>
  <c r="AL143" i="1" s="1"/>
  <c r="AJ144" i="1"/>
  <c r="AL144" i="1" s="1"/>
  <c r="AJ145" i="1"/>
  <c r="AJ146" i="1"/>
  <c r="AJ147" i="1"/>
  <c r="AJ148" i="1"/>
  <c r="AJ149" i="1"/>
  <c r="AJ150" i="1"/>
  <c r="AL150" i="1" s="1"/>
  <c r="AJ151" i="1"/>
  <c r="AL151" i="1" s="1"/>
  <c r="AJ152" i="1"/>
  <c r="AL152" i="1" s="1"/>
  <c r="AJ153" i="1"/>
  <c r="AJ154" i="1"/>
  <c r="AJ155" i="1"/>
  <c r="AJ156" i="1"/>
  <c r="AJ157" i="1"/>
  <c r="AL157" i="1" s="1"/>
  <c r="AJ158" i="1"/>
  <c r="AL158" i="1" s="1"/>
  <c r="AJ159" i="1"/>
  <c r="AL159" i="1" s="1"/>
  <c r="AJ160" i="1"/>
  <c r="AL160" i="1" s="1"/>
  <c r="AJ161" i="1"/>
  <c r="AJ162" i="1"/>
  <c r="AJ163" i="1"/>
  <c r="AJ164" i="1"/>
  <c r="AJ165" i="1"/>
  <c r="AL133" i="1"/>
  <c r="AL137" i="1"/>
  <c r="AL138" i="1"/>
  <c r="AL139" i="1"/>
  <c r="AL140" i="1"/>
  <c r="AL141" i="1"/>
  <c r="AL145" i="1"/>
  <c r="AL146" i="1"/>
  <c r="AL147" i="1"/>
  <c r="AL148" i="1"/>
  <c r="AL149" i="1"/>
  <c r="AL153" i="1"/>
  <c r="AL154" i="1"/>
  <c r="AL155" i="1"/>
  <c r="AL156" i="1"/>
  <c r="AL161" i="1"/>
  <c r="AL162" i="1"/>
  <c r="AL163" i="1"/>
  <c r="AL164" i="1"/>
  <c r="AL165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N71" i="25"/>
  <c r="C71" i="25"/>
  <c r="D71" i="25"/>
  <c r="G71" i="25"/>
  <c r="AE71" i="25" s="1"/>
  <c r="Y71" i="25"/>
  <c r="Z71" i="25"/>
  <c r="N70" i="25"/>
  <c r="C70" i="25"/>
  <c r="D70" i="25"/>
  <c r="G70" i="25"/>
  <c r="H70" i="25" s="1"/>
  <c r="Y70" i="25"/>
  <c r="Z70" i="25"/>
  <c r="C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28" i="25"/>
  <c r="C29" i="25"/>
  <c r="C30" i="25"/>
  <c r="C31" i="25"/>
  <c r="C32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58" i="25"/>
  <c r="C59" i="25"/>
  <c r="C60" i="25"/>
  <c r="C61" i="25"/>
  <c r="C62" i="25"/>
  <c r="C63" i="25"/>
  <c r="C64" i="25"/>
  <c r="C65" i="25"/>
  <c r="C66" i="25"/>
  <c r="C67" i="25"/>
  <c r="C68" i="25"/>
  <c r="C69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Y2" i="25"/>
  <c r="Y3" i="25"/>
  <c r="Y4" i="25"/>
  <c r="Y5" i="25"/>
  <c r="Y6" i="25"/>
  <c r="Y7" i="25"/>
  <c r="Y8" i="25"/>
  <c r="Y9" i="25"/>
  <c r="Y10" i="25"/>
  <c r="Y11" i="25"/>
  <c r="Y12" i="25"/>
  <c r="Y13" i="25"/>
  <c r="Y14" i="25"/>
  <c r="Y15" i="25"/>
  <c r="Y16" i="25"/>
  <c r="Y17" i="25"/>
  <c r="Y18" i="25"/>
  <c r="Y19" i="25"/>
  <c r="Y20" i="25"/>
  <c r="Y21" i="25"/>
  <c r="Y22" i="25"/>
  <c r="Y23" i="25"/>
  <c r="Y24" i="25"/>
  <c r="Y25" i="25"/>
  <c r="Y26" i="25"/>
  <c r="Y27" i="25"/>
  <c r="Y28" i="25"/>
  <c r="Y29" i="25"/>
  <c r="Y30" i="25"/>
  <c r="Y31" i="25"/>
  <c r="Y32" i="25"/>
  <c r="Y33" i="25"/>
  <c r="Y34" i="25"/>
  <c r="Y35" i="25"/>
  <c r="Y36" i="25"/>
  <c r="Y37" i="25"/>
  <c r="Y38" i="25"/>
  <c r="Y39" i="25"/>
  <c r="Y40" i="25"/>
  <c r="Y41" i="25"/>
  <c r="Y42" i="25"/>
  <c r="Y43" i="25"/>
  <c r="Y44" i="25"/>
  <c r="Y45" i="25"/>
  <c r="Y46" i="25"/>
  <c r="Y47" i="25"/>
  <c r="Y48" i="25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65" i="25"/>
  <c r="Y66" i="25"/>
  <c r="Y67" i="25"/>
  <c r="Y68" i="25"/>
  <c r="Y69" i="25"/>
  <c r="AK130" i="1"/>
  <c r="AK129" i="1"/>
  <c r="AK128" i="1"/>
  <c r="A47" i="7" l="1"/>
  <c r="F47" i="7"/>
  <c r="G47" i="7" s="1"/>
  <c r="H48" i="7"/>
  <c r="C47" i="7"/>
  <c r="F46" i="7"/>
  <c r="G46" i="7" s="1"/>
  <c r="A46" i="7"/>
  <c r="C46" i="7"/>
  <c r="Z98" i="6"/>
  <c r="Y130" i="6"/>
  <c r="Z113" i="6"/>
  <c r="Z97" i="6"/>
  <c r="Z81" i="6"/>
  <c r="Y66" i="6"/>
  <c r="Z49" i="6"/>
  <c r="Y129" i="6"/>
  <c r="Z128" i="6"/>
  <c r="Z112" i="6"/>
  <c r="Z96" i="6"/>
  <c r="Z80" i="6"/>
  <c r="Y65" i="6"/>
  <c r="Z64" i="6"/>
  <c r="Z48" i="6"/>
  <c r="Z114" i="6"/>
  <c r="Z82" i="6"/>
  <c r="Z50" i="6"/>
  <c r="Z124" i="6"/>
  <c r="Z92" i="6"/>
  <c r="Z76" i="6"/>
  <c r="Z60" i="6"/>
  <c r="Y45" i="6"/>
  <c r="Z123" i="6"/>
  <c r="Z107" i="6"/>
  <c r="Z75" i="6"/>
  <c r="Z59" i="6"/>
  <c r="Y44" i="6"/>
  <c r="Z43" i="6"/>
  <c r="Z108" i="6"/>
  <c r="Z91" i="6"/>
  <c r="Z120" i="6"/>
  <c r="Z104" i="6"/>
  <c r="Z88" i="6"/>
  <c r="Z72" i="6"/>
  <c r="Z56" i="6"/>
  <c r="Z40" i="6"/>
  <c r="Z135" i="6"/>
  <c r="Z103" i="6"/>
  <c r="Z87" i="6"/>
  <c r="Z71" i="6"/>
  <c r="Z134" i="6"/>
  <c r="Y119" i="6"/>
  <c r="Z118" i="6"/>
  <c r="Z102" i="6"/>
  <c r="Z86" i="6"/>
  <c r="Z70" i="6"/>
  <c r="Y55" i="6"/>
  <c r="Z54" i="6"/>
  <c r="Y39" i="6"/>
  <c r="Z38" i="6"/>
  <c r="Z136" i="6"/>
  <c r="AC71" i="25"/>
  <c r="H71" i="25"/>
  <c r="K232" i="26"/>
  <c r="H236" i="26"/>
  <c r="H228" i="26"/>
  <c r="H235" i="26"/>
  <c r="H227" i="26"/>
  <c r="H234" i="26"/>
  <c r="H226" i="26"/>
  <c r="H232" i="26"/>
  <c r="AC70" i="25"/>
  <c r="AE70" i="25"/>
  <c r="A48" i="7" l="1"/>
  <c r="F48" i="7"/>
  <c r="G48" i="7" s="1"/>
  <c r="H49" i="7"/>
  <c r="C48" i="7"/>
  <c r="Y130" i="1"/>
  <c r="X130" i="1"/>
  <c r="W130" i="1"/>
  <c r="H128" i="1"/>
  <c r="H129" i="1"/>
  <c r="H130" i="1"/>
  <c r="AJ130" i="1"/>
  <c r="AM130" i="1"/>
  <c r="AM97" i="26"/>
  <c r="AM129" i="26"/>
  <c r="AM161" i="26"/>
  <c r="AM193" i="26"/>
  <c r="V2" i="26"/>
  <c r="V3" i="26"/>
  <c r="V4" i="26"/>
  <c r="V5" i="26"/>
  <c r="V6" i="26"/>
  <c r="V7" i="26"/>
  <c r="V8" i="26"/>
  <c r="V9" i="26"/>
  <c r="V10" i="26"/>
  <c r="V11" i="26"/>
  <c r="V12" i="26"/>
  <c r="V13" i="26"/>
  <c r="V14" i="26"/>
  <c r="V15" i="26"/>
  <c r="V16" i="26"/>
  <c r="V17" i="26"/>
  <c r="V18" i="26"/>
  <c r="V19" i="26"/>
  <c r="V20" i="26"/>
  <c r="V21" i="26"/>
  <c r="V22" i="26"/>
  <c r="V23" i="26"/>
  <c r="V24" i="26"/>
  <c r="V25" i="26"/>
  <c r="V26" i="26"/>
  <c r="V27" i="26"/>
  <c r="V28" i="26"/>
  <c r="V29" i="26"/>
  <c r="V30" i="26"/>
  <c r="V31" i="26"/>
  <c r="V32" i="26"/>
  <c r="V33" i="26"/>
  <c r="V34" i="26"/>
  <c r="V35" i="26"/>
  <c r="V36" i="26"/>
  <c r="V37" i="26"/>
  <c r="V38" i="26"/>
  <c r="V39" i="26"/>
  <c r="V40" i="26"/>
  <c r="V41" i="26"/>
  <c r="V42" i="26"/>
  <c r="V43" i="26"/>
  <c r="V44" i="26"/>
  <c r="V45" i="26"/>
  <c r="V46" i="26"/>
  <c r="V47" i="26"/>
  <c r="V48" i="26"/>
  <c r="V49" i="26"/>
  <c r="V50" i="26"/>
  <c r="V51" i="26"/>
  <c r="V52" i="26"/>
  <c r="V53" i="26"/>
  <c r="V54" i="26"/>
  <c r="V55" i="26"/>
  <c r="V56" i="26"/>
  <c r="V57" i="26"/>
  <c r="V58" i="26"/>
  <c r="V59" i="26"/>
  <c r="V60" i="26"/>
  <c r="V61" i="26"/>
  <c r="V62" i="26"/>
  <c r="V63" i="26"/>
  <c r="V64" i="26"/>
  <c r="V65" i="26"/>
  <c r="V66" i="26"/>
  <c r="V67" i="26"/>
  <c r="V68" i="26"/>
  <c r="V69" i="26"/>
  <c r="V70" i="26"/>
  <c r="V71" i="26"/>
  <c r="V72" i="26"/>
  <c r="V73" i="26"/>
  <c r="V74" i="26"/>
  <c r="V75" i="26"/>
  <c r="V76" i="26"/>
  <c r="V77" i="26"/>
  <c r="V78" i="26"/>
  <c r="V79" i="26"/>
  <c r="V80" i="26"/>
  <c r="V81" i="26"/>
  <c r="V82" i="26"/>
  <c r="V83" i="26"/>
  <c r="V84" i="26"/>
  <c r="V85" i="26"/>
  <c r="V86" i="26"/>
  <c r="V87" i="26"/>
  <c r="V88" i="26"/>
  <c r="V89" i="26"/>
  <c r="V90" i="26"/>
  <c r="V91" i="26"/>
  <c r="V92" i="26"/>
  <c r="V93" i="26"/>
  <c r="V94" i="26"/>
  <c r="V95" i="26"/>
  <c r="V96" i="26"/>
  <c r="V97" i="26"/>
  <c r="V98" i="26"/>
  <c r="V99" i="26"/>
  <c r="V100" i="26"/>
  <c r="V101" i="26"/>
  <c r="V102" i="26"/>
  <c r="V103" i="26"/>
  <c r="V104" i="26"/>
  <c r="V105" i="26"/>
  <c r="V106" i="26"/>
  <c r="V107" i="26"/>
  <c r="V108" i="26"/>
  <c r="V109" i="26"/>
  <c r="V110" i="26"/>
  <c r="V111" i="26"/>
  <c r="V112" i="26"/>
  <c r="V113" i="26"/>
  <c r="V114" i="26"/>
  <c r="V115" i="26"/>
  <c r="V116" i="26"/>
  <c r="V117" i="26"/>
  <c r="V118" i="26"/>
  <c r="V119" i="26"/>
  <c r="V120" i="26"/>
  <c r="V121" i="26"/>
  <c r="V122" i="26"/>
  <c r="V123" i="26"/>
  <c r="V124" i="26"/>
  <c r="V125" i="26"/>
  <c r="V126" i="26"/>
  <c r="V127" i="26"/>
  <c r="V128" i="26"/>
  <c r="V129" i="26"/>
  <c r="V130" i="26"/>
  <c r="V131" i="26"/>
  <c r="V132" i="26"/>
  <c r="V133" i="26"/>
  <c r="V134" i="26"/>
  <c r="V135" i="26"/>
  <c r="V136" i="26"/>
  <c r="V137" i="26"/>
  <c r="V138" i="26"/>
  <c r="V139" i="26"/>
  <c r="V140" i="26"/>
  <c r="V141" i="26"/>
  <c r="V142" i="26"/>
  <c r="V143" i="26"/>
  <c r="V144" i="26"/>
  <c r="V145" i="26"/>
  <c r="V146" i="26"/>
  <c r="V147" i="26"/>
  <c r="V148" i="26"/>
  <c r="V149" i="26"/>
  <c r="V150" i="26"/>
  <c r="V151" i="26"/>
  <c r="V152" i="26"/>
  <c r="V153" i="26"/>
  <c r="V154" i="26"/>
  <c r="V155" i="26"/>
  <c r="V156" i="26"/>
  <c r="V157" i="26"/>
  <c r="V158" i="26"/>
  <c r="V159" i="26"/>
  <c r="V160" i="26"/>
  <c r="V161" i="26"/>
  <c r="V162" i="26"/>
  <c r="V163" i="26"/>
  <c r="V164" i="26"/>
  <c r="V165" i="26"/>
  <c r="V166" i="26"/>
  <c r="V167" i="26"/>
  <c r="V168" i="26"/>
  <c r="V169" i="26"/>
  <c r="V170" i="26"/>
  <c r="V171" i="26"/>
  <c r="V172" i="26"/>
  <c r="V173" i="26"/>
  <c r="V174" i="26"/>
  <c r="V175" i="26"/>
  <c r="V176" i="26"/>
  <c r="V177" i="26"/>
  <c r="V178" i="26"/>
  <c r="V179" i="26"/>
  <c r="V180" i="26"/>
  <c r="V181" i="26"/>
  <c r="V182" i="26"/>
  <c r="V183" i="26"/>
  <c r="V184" i="26"/>
  <c r="V185" i="26"/>
  <c r="V186" i="26"/>
  <c r="V187" i="26"/>
  <c r="V188" i="26"/>
  <c r="V189" i="26"/>
  <c r="V190" i="26"/>
  <c r="V191" i="26"/>
  <c r="V192" i="26"/>
  <c r="V193" i="26"/>
  <c r="V194" i="26"/>
  <c r="V195" i="26"/>
  <c r="V196" i="26"/>
  <c r="V197" i="26"/>
  <c r="V198" i="26"/>
  <c r="V199" i="26"/>
  <c r="V200" i="26"/>
  <c r="V201" i="26"/>
  <c r="V202" i="26"/>
  <c r="V203" i="26"/>
  <c r="V204" i="26"/>
  <c r="V205" i="26"/>
  <c r="V206" i="26"/>
  <c r="V207" i="26"/>
  <c r="V208" i="26"/>
  <c r="V209" i="26"/>
  <c r="V210" i="26"/>
  <c r="V211" i="26"/>
  <c r="V212" i="26"/>
  <c r="V213" i="26"/>
  <c r="V214" i="26"/>
  <c r="V215" i="26"/>
  <c r="V216" i="26"/>
  <c r="V217" i="26"/>
  <c r="V218" i="26"/>
  <c r="V219" i="26"/>
  <c r="V220" i="26"/>
  <c r="V221" i="26"/>
  <c r="V222" i="26"/>
  <c r="V223" i="26"/>
  <c r="V224" i="26"/>
  <c r="U2" i="26"/>
  <c r="U3" i="26"/>
  <c r="U4" i="26"/>
  <c r="U5" i="26"/>
  <c r="U6" i="26"/>
  <c r="U7" i="26"/>
  <c r="U8" i="26"/>
  <c r="U9" i="26"/>
  <c r="U10" i="26"/>
  <c r="U11" i="26"/>
  <c r="U12" i="26"/>
  <c r="U13" i="26"/>
  <c r="U14" i="26"/>
  <c r="U15" i="26"/>
  <c r="U16" i="26"/>
  <c r="U17" i="26"/>
  <c r="U18" i="26"/>
  <c r="U19" i="26"/>
  <c r="U20" i="26"/>
  <c r="U21" i="26"/>
  <c r="U22" i="26"/>
  <c r="U23" i="26"/>
  <c r="U24" i="26"/>
  <c r="U25" i="26"/>
  <c r="U26" i="26"/>
  <c r="U27" i="26"/>
  <c r="U28" i="26"/>
  <c r="U29" i="26"/>
  <c r="U30" i="26"/>
  <c r="U31" i="26"/>
  <c r="U32" i="26"/>
  <c r="U33" i="26"/>
  <c r="U34" i="26"/>
  <c r="U35" i="26"/>
  <c r="U36" i="26"/>
  <c r="U37" i="26"/>
  <c r="U38" i="26"/>
  <c r="U39" i="26"/>
  <c r="U40" i="26"/>
  <c r="U41" i="26"/>
  <c r="U42" i="26"/>
  <c r="U43" i="26"/>
  <c r="U44" i="26"/>
  <c r="U45" i="26"/>
  <c r="U46" i="26"/>
  <c r="U47" i="26"/>
  <c r="U48" i="26"/>
  <c r="U49" i="26"/>
  <c r="U50" i="26"/>
  <c r="U51" i="26"/>
  <c r="U52" i="26"/>
  <c r="U53" i="26"/>
  <c r="U54" i="26"/>
  <c r="U55" i="26"/>
  <c r="U56" i="26"/>
  <c r="U57" i="26"/>
  <c r="U58" i="26"/>
  <c r="U59" i="26"/>
  <c r="U60" i="26"/>
  <c r="U61" i="26"/>
  <c r="U62" i="26"/>
  <c r="U63" i="26"/>
  <c r="U64" i="26"/>
  <c r="U65" i="26"/>
  <c r="U66" i="26"/>
  <c r="U67" i="26"/>
  <c r="U68" i="26"/>
  <c r="U69" i="26"/>
  <c r="U70" i="26"/>
  <c r="U71" i="26"/>
  <c r="U72" i="26"/>
  <c r="U73" i="26"/>
  <c r="U74" i="26"/>
  <c r="U75" i="26"/>
  <c r="U76" i="26"/>
  <c r="U77" i="26"/>
  <c r="U78" i="26"/>
  <c r="U79" i="26"/>
  <c r="U80" i="26"/>
  <c r="U81" i="26"/>
  <c r="U82" i="26"/>
  <c r="U83" i="26"/>
  <c r="U84" i="26"/>
  <c r="U85" i="26"/>
  <c r="U86" i="26"/>
  <c r="U87" i="26"/>
  <c r="U88" i="26"/>
  <c r="U89" i="26"/>
  <c r="U90" i="26"/>
  <c r="U91" i="26"/>
  <c r="U92" i="26"/>
  <c r="U93" i="26"/>
  <c r="U94" i="26"/>
  <c r="U95" i="26"/>
  <c r="U96" i="26"/>
  <c r="U97" i="26"/>
  <c r="U98" i="26"/>
  <c r="U99" i="26"/>
  <c r="U100" i="26"/>
  <c r="U101" i="26"/>
  <c r="U102" i="26"/>
  <c r="U103" i="26"/>
  <c r="U104" i="26"/>
  <c r="U105" i="26"/>
  <c r="U106" i="26"/>
  <c r="U107" i="26"/>
  <c r="U108" i="26"/>
  <c r="U109" i="26"/>
  <c r="U110" i="26"/>
  <c r="U111" i="26"/>
  <c r="U112" i="26"/>
  <c r="U113" i="26"/>
  <c r="U114" i="26"/>
  <c r="U115" i="26"/>
  <c r="U116" i="26"/>
  <c r="U117" i="26"/>
  <c r="U118" i="26"/>
  <c r="U119" i="26"/>
  <c r="U120" i="26"/>
  <c r="U121" i="26"/>
  <c r="U122" i="26"/>
  <c r="U123" i="26"/>
  <c r="U124" i="26"/>
  <c r="U125" i="26"/>
  <c r="U126" i="26"/>
  <c r="U127" i="26"/>
  <c r="U128" i="26"/>
  <c r="U129" i="26"/>
  <c r="U130" i="26"/>
  <c r="U131" i="26"/>
  <c r="U132" i="26"/>
  <c r="U133" i="26"/>
  <c r="U134" i="26"/>
  <c r="U135" i="26"/>
  <c r="U136" i="26"/>
  <c r="U137" i="26"/>
  <c r="U138" i="26"/>
  <c r="U139" i="26"/>
  <c r="U140" i="26"/>
  <c r="U141" i="26"/>
  <c r="U142" i="26"/>
  <c r="U143" i="26"/>
  <c r="U144" i="26"/>
  <c r="U145" i="26"/>
  <c r="U146" i="26"/>
  <c r="U147" i="26"/>
  <c r="U148" i="26"/>
  <c r="U149" i="26"/>
  <c r="U150" i="26"/>
  <c r="U151" i="26"/>
  <c r="U152" i="26"/>
  <c r="U153" i="26"/>
  <c r="U154" i="26"/>
  <c r="U155" i="26"/>
  <c r="U156" i="26"/>
  <c r="U157" i="26"/>
  <c r="U158" i="26"/>
  <c r="U159" i="26"/>
  <c r="U160" i="26"/>
  <c r="U161" i="26"/>
  <c r="U162" i="26"/>
  <c r="U163" i="26"/>
  <c r="U164" i="26"/>
  <c r="U165" i="26"/>
  <c r="U166" i="26"/>
  <c r="U167" i="26"/>
  <c r="U168" i="26"/>
  <c r="U169" i="26"/>
  <c r="U170" i="26"/>
  <c r="U171" i="26"/>
  <c r="U172" i="26"/>
  <c r="U173" i="26"/>
  <c r="U174" i="26"/>
  <c r="U175" i="26"/>
  <c r="U176" i="26"/>
  <c r="U177" i="26"/>
  <c r="U178" i="26"/>
  <c r="U179" i="26"/>
  <c r="U180" i="26"/>
  <c r="U181" i="26"/>
  <c r="U182" i="26"/>
  <c r="U183" i="26"/>
  <c r="U184" i="26"/>
  <c r="U185" i="26"/>
  <c r="U186" i="26"/>
  <c r="U187" i="26"/>
  <c r="U188" i="26"/>
  <c r="U189" i="26"/>
  <c r="U190" i="26"/>
  <c r="U191" i="26"/>
  <c r="U192" i="26"/>
  <c r="U193" i="26"/>
  <c r="U194" i="26"/>
  <c r="U195" i="26"/>
  <c r="U196" i="26"/>
  <c r="U197" i="26"/>
  <c r="U198" i="26"/>
  <c r="U199" i="26"/>
  <c r="U200" i="26"/>
  <c r="U201" i="26"/>
  <c r="U202" i="26"/>
  <c r="U203" i="26"/>
  <c r="U204" i="26"/>
  <c r="U205" i="26"/>
  <c r="U206" i="26"/>
  <c r="U207" i="26"/>
  <c r="U208" i="26"/>
  <c r="U209" i="26"/>
  <c r="U210" i="26"/>
  <c r="U211" i="26"/>
  <c r="U212" i="26"/>
  <c r="U213" i="26"/>
  <c r="U214" i="26"/>
  <c r="U215" i="26"/>
  <c r="U216" i="26"/>
  <c r="U217" i="26"/>
  <c r="U218" i="26"/>
  <c r="U219" i="26"/>
  <c r="U220" i="26"/>
  <c r="U221" i="26"/>
  <c r="U222" i="26"/>
  <c r="U223" i="26"/>
  <c r="U224" i="26"/>
  <c r="J2" i="26"/>
  <c r="J3" i="26"/>
  <c r="J4" i="26"/>
  <c r="J5" i="26"/>
  <c r="J6" i="26"/>
  <c r="J7" i="26"/>
  <c r="J8" i="26"/>
  <c r="J9" i="26"/>
  <c r="J10" i="26"/>
  <c r="J11" i="26"/>
  <c r="J12" i="26"/>
  <c r="J13" i="26"/>
  <c r="J14" i="26"/>
  <c r="J15" i="26"/>
  <c r="J16" i="26"/>
  <c r="I2" i="26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151" i="26"/>
  <c r="D152" i="26"/>
  <c r="D153" i="26"/>
  <c r="D154" i="26"/>
  <c r="D155" i="26"/>
  <c r="D156" i="26"/>
  <c r="D157" i="26"/>
  <c r="D158" i="26"/>
  <c r="D159" i="26"/>
  <c r="D160" i="26"/>
  <c r="D161" i="26"/>
  <c r="D162" i="26"/>
  <c r="D163" i="26"/>
  <c r="D164" i="26"/>
  <c r="D165" i="26"/>
  <c r="D166" i="26"/>
  <c r="D167" i="26"/>
  <c r="D168" i="26"/>
  <c r="D169" i="26"/>
  <c r="D170" i="26"/>
  <c r="D171" i="26"/>
  <c r="D172" i="26"/>
  <c r="D173" i="26"/>
  <c r="D174" i="26"/>
  <c r="D175" i="26"/>
  <c r="D176" i="26"/>
  <c r="D177" i="26"/>
  <c r="D178" i="26"/>
  <c r="D179" i="26"/>
  <c r="D180" i="26"/>
  <c r="D181" i="26"/>
  <c r="D182" i="26"/>
  <c r="D183" i="26"/>
  <c r="D184" i="26"/>
  <c r="D185" i="26"/>
  <c r="D186" i="26"/>
  <c r="D187" i="26"/>
  <c r="D188" i="26"/>
  <c r="D189" i="26"/>
  <c r="D190" i="26"/>
  <c r="D191" i="26"/>
  <c r="D192" i="26"/>
  <c r="D193" i="26"/>
  <c r="D194" i="26"/>
  <c r="D195" i="26"/>
  <c r="D196" i="26"/>
  <c r="D197" i="26"/>
  <c r="D198" i="26"/>
  <c r="D199" i="26"/>
  <c r="D200" i="26"/>
  <c r="D201" i="26"/>
  <c r="D202" i="26"/>
  <c r="D203" i="26"/>
  <c r="D204" i="26"/>
  <c r="D205" i="26"/>
  <c r="D206" i="26"/>
  <c r="D207" i="26"/>
  <c r="D208" i="26"/>
  <c r="D209" i="26"/>
  <c r="D210" i="26"/>
  <c r="D211" i="26"/>
  <c r="D212" i="26"/>
  <c r="D213" i="26"/>
  <c r="D214" i="26"/>
  <c r="D215" i="26"/>
  <c r="D216" i="26"/>
  <c r="D217" i="26"/>
  <c r="D218" i="26"/>
  <c r="D219" i="26"/>
  <c r="D220" i="26"/>
  <c r="D221" i="26"/>
  <c r="D222" i="26"/>
  <c r="D223" i="26"/>
  <c r="D224" i="26"/>
  <c r="AH224" i="26"/>
  <c r="AG224" i="26"/>
  <c r="AF224" i="26"/>
  <c r="AE224" i="26"/>
  <c r="G224" i="26"/>
  <c r="H224" i="26" s="1"/>
  <c r="C224" i="26"/>
  <c r="AH223" i="26"/>
  <c r="AG223" i="26"/>
  <c r="AF223" i="26"/>
  <c r="AE223" i="26"/>
  <c r="G223" i="26"/>
  <c r="AM223" i="26" s="1"/>
  <c r="C223" i="26"/>
  <c r="AH222" i="26"/>
  <c r="AG222" i="26"/>
  <c r="AF222" i="26"/>
  <c r="AE222" i="26"/>
  <c r="G222" i="26"/>
  <c r="H222" i="26" s="1"/>
  <c r="C222" i="26"/>
  <c r="AH221" i="26"/>
  <c r="AG221" i="26"/>
  <c r="AF221" i="26"/>
  <c r="AE221" i="26"/>
  <c r="G221" i="26"/>
  <c r="AM221" i="26" s="1"/>
  <c r="C221" i="26"/>
  <c r="AH220" i="26"/>
  <c r="AG220" i="26"/>
  <c r="AF220" i="26"/>
  <c r="AE220" i="26"/>
  <c r="G220" i="26"/>
  <c r="H220" i="26" s="1"/>
  <c r="C220" i="26"/>
  <c r="AH219" i="26"/>
  <c r="AG219" i="26"/>
  <c r="AF219" i="26"/>
  <c r="AE219" i="26"/>
  <c r="G219" i="26"/>
  <c r="H219" i="26" s="1"/>
  <c r="C219" i="26"/>
  <c r="AH218" i="26"/>
  <c r="AG218" i="26"/>
  <c r="AF218" i="26"/>
  <c r="AE218" i="26"/>
  <c r="G218" i="26"/>
  <c r="H218" i="26" s="1"/>
  <c r="C218" i="26"/>
  <c r="AH217" i="26"/>
  <c r="AG217" i="26"/>
  <c r="AF217" i="26"/>
  <c r="AE217" i="26"/>
  <c r="G217" i="26"/>
  <c r="AM217" i="26" s="1"/>
  <c r="C217" i="26"/>
  <c r="AH216" i="26"/>
  <c r="AG216" i="26"/>
  <c r="AF216" i="26"/>
  <c r="AE216" i="26"/>
  <c r="G216" i="26"/>
  <c r="H216" i="26" s="1"/>
  <c r="C216" i="26"/>
  <c r="AH215" i="26"/>
  <c r="AG215" i="26"/>
  <c r="AF215" i="26"/>
  <c r="AE215" i="26"/>
  <c r="G215" i="26"/>
  <c r="AM215" i="26" s="1"/>
  <c r="C215" i="26"/>
  <c r="AH214" i="26"/>
  <c r="AG214" i="26"/>
  <c r="AF214" i="26"/>
  <c r="AE214" i="26"/>
  <c r="G214" i="26"/>
  <c r="H214" i="26" s="1"/>
  <c r="C214" i="26"/>
  <c r="AH213" i="26"/>
  <c r="AG213" i="26"/>
  <c r="AF213" i="26"/>
  <c r="AE213" i="26"/>
  <c r="G213" i="26"/>
  <c r="AM213" i="26" s="1"/>
  <c r="C213" i="26"/>
  <c r="AH212" i="26"/>
  <c r="AG212" i="26"/>
  <c r="AF212" i="26"/>
  <c r="AE212" i="26"/>
  <c r="G212" i="26"/>
  <c r="H212" i="26" s="1"/>
  <c r="C212" i="26"/>
  <c r="AH211" i="26"/>
  <c r="AG211" i="26"/>
  <c r="AF211" i="26"/>
  <c r="AE211" i="26"/>
  <c r="G211" i="26"/>
  <c r="C211" i="26"/>
  <c r="AH210" i="26"/>
  <c r="AG210" i="26"/>
  <c r="AF210" i="26"/>
  <c r="AE210" i="26"/>
  <c r="G210" i="26"/>
  <c r="AM210" i="26" s="1"/>
  <c r="C210" i="26"/>
  <c r="AH209" i="26"/>
  <c r="AG209" i="26"/>
  <c r="AF209" i="26"/>
  <c r="AE209" i="26"/>
  <c r="G209" i="26"/>
  <c r="H209" i="26" s="1"/>
  <c r="C209" i="26"/>
  <c r="AH208" i="26"/>
  <c r="AG208" i="26"/>
  <c r="AF208" i="26"/>
  <c r="AE208" i="26"/>
  <c r="G208" i="26"/>
  <c r="AM208" i="26" s="1"/>
  <c r="C208" i="26"/>
  <c r="AH207" i="26"/>
  <c r="AG207" i="26"/>
  <c r="AF207" i="26"/>
  <c r="AE207" i="26"/>
  <c r="G207" i="26"/>
  <c r="H207" i="26" s="1"/>
  <c r="C207" i="26"/>
  <c r="AH206" i="26"/>
  <c r="AG206" i="26"/>
  <c r="AF206" i="26"/>
  <c r="AE206" i="26"/>
  <c r="G206" i="26"/>
  <c r="H206" i="26" s="1"/>
  <c r="C206" i="26"/>
  <c r="AH205" i="26"/>
  <c r="AG205" i="26"/>
  <c r="AF205" i="26"/>
  <c r="AE205" i="26"/>
  <c r="G205" i="26"/>
  <c r="H205" i="26" s="1"/>
  <c r="C205" i="26"/>
  <c r="AH204" i="26"/>
  <c r="AG204" i="26"/>
  <c r="AF204" i="26"/>
  <c r="AE204" i="26"/>
  <c r="G204" i="26"/>
  <c r="H204" i="26" s="1"/>
  <c r="C204" i="26"/>
  <c r="AH203" i="26"/>
  <c r="AG203" i="26"/>
  <c r="AF203" i="26"/>
  <c r="AE203" i="26"/>
  <c r="G203" i="26"/>
  <c r="C203" i="26"/>
  <c r="AH202" i="26"/>
  <c r="AG202" i="26"/>
  <c r="AF202" i="26"/>
  <c r="AE202" i="26"/>
  <c r="G202" i="26"/>
  <c r="H202" i="26" s="1"/>
  <c r="C202" i="26"/>
  <c r="AH201" i="26"/>
  <c r="AG201" i="26"/>
  <c r="AF201" i="26"/>
  <c r="AE201" i="26"/>
  <c r="G201" i="26"/>
  <c r="H201" i="26" s="1"/>
  <c r="C201" i="26"/>
  <c r="AH200" i="26"/>
  <c r="AG200" i="26"/>
  <c r="AF200" i="26"/>
  <c r="AE200" i="26"/>
  <c r="G200" i="26"/>
  <c r="H200" i="26" s="1"/>
  <c r="C200" i="26"/>
  <c r="AH199" i="26"/>
  <c r="AG199" i="26"/>
  <c r="AF199" i="26"/>
  <c r="AE199" i="26"/>
  <c r="G199" i="26"/>
  <c r="AM199" i="26" s="1"/>
  <c r="C199" i="26"/>
  <c r="AH198" i="26"/>
  <c r="AG198" i="26"/>
  <c r="AF198" i="26"/>
  <c r="AE198" i="26"/>
  <c r="G198" i="26"/>
  <c r="AM198" i="26" s="1"/>
  <c r="C198" i="26"/>
  <c r="AH197" i="26"/>
  <c r="AG197" i="26"/>
  <c r="AF197" i="26"/>
  <c r="AE197" i="26"/>
  <c r="G197" i="26"/>
  <c r="H197" i="26" s="1"/>
  <c r="C197" i="26"/>
  <c r="AH196" i="26"/>
  <c r="AG196" i="26"/>
  <c r="AF196" i="26"/>
  <c r="AE196" i="26"/>
  <c r="G196" i="26"/>
  <c r="H196" i="26" s="1"/>
  <c r="C196" i="26"/>
  <c r="AH195" i="26"/>
  <c r="AG195" i="26"/>
  <c r="AF195" i="26"/>
  <c r="AE195" i="26"/>
  <c r="G195" i="26"/>
  <c r="H195" i="26" s="1"/>
  <c r="C195" i="26"/>
  <c r="AH194" i="26"/>
  <c r="AG194" i="26"/>
  <c r="AF194" i="26"/>
  <c r="AE194" i="26"/>
  <c r="G194" i="26"/>
  <c r="H194" i="26" s="1"/>
  <c r="C194" i="26"/>
  <c r="AH193" i="26"/>
  <c r="AG193" i="26"/>
  <c r="AF193" i="26"/>
  <c r="AE193" i="26"/>
  <c r="G193" i="26"/>
  <c r="H193" i="26" s="1"/>
  <c r="C193" i="26"/>
  <c r="AH192" i="26"/>
  <c r="AG192" i="26"/>
  <c r="AF192" i="26"/>
  <c r="AE192" i="26"/>
  <c r="G192" i="26"/>
  <c r="H192" i="26" s="1"/>
  <c r="C192" i="26"/>
  <c r="AH191" i="26"/>
  <c r="AG191" i="26"/>
  <c r="AF191" i="26"/>
  <c r="AE191" i="26"/>
  <c r="G191" i="26"/>
  <c r="H191" i="26" s="1"/>
  <c r="C191" i="26"/>
  <c r="AH190" i="26"/>
  <c r="AG190" i="26"/>
  <c r="AF190" i="26"/>
  <c r="AE190" i="26"/>
  <c r="G190" i="26"/>
  <c r="AM190" i="26" s="1"/>
  <c r="C190" i="26"/>
  <c r="AH189" i="26"/>
  <c r="AG189" i="26"/>
  <c r="AF189" i="26"/>
  <c r="AE189" i="26"/>
  <c r="G189" i="26"/>
  <c r="H189" i="26" s="1"/>
  <c r="C189" i="26"/>
  <c r="AH188" i="26"/>
  <c r="AG188" i="26"/>
  <c r="AF188" i="26"/>
  <c r="AE188" i="26"/>
  <c r="G188" i="26"/>
  <c r="H188" i="26" s="1"/>
  <c r="C188" i="26"/>
  <c r="AH187" i="26"/>
  <c r="AG187" i="26"/>
  <c r="AF187" i="26"/>
  <c r="AE187" i="26"/>
  <c r="G187" i="26"/>
  <c r="H187" i="26" s="1"/>
  <c r="C187" i="26"/>
  <c r="AH186" i="26"/>
  <c r="AG186" i="26"/>
  <c r="AF186" i="26"/>
  <c r="AE186" i="26"/>
  <c r="G186" i="26"/>
  <c r="AM186" i="26" s="1"/>
  <c r="C186" i="26"/>
  <c r="AH185" i="26"/>
  <c r="AG185" i="26"/>
  <c r="AF185" i="26"/>
  <c r="AE185" i="26"/>
  <c r="G185" i="26"/>
  <c r="H185" i="26" s="1"/>
  <c r="C185" i="26"/>
  <c r="AH184" i="26"/>
  <c r="AG184" i="26"/>
  <c r="AF184" i="26"/>
  <c r="AE184" i="26"/>
  <c r="G184" i="26"/>
  <c r="AM184" i="26" s="1"/>
  <c r="C184" i="26"/>
  <c r="AH183" i="26"/>
  <c r="AG183" i="26"/>
  <c r="AF183" i="26"/>
  <c r="AE183" i="26"/>
  <c r="G183" i="26"/>
  <c r="H183" i="26" s="1"/>
  <c r="C183" i="26"/>
  <c r="AH182" i="26"/>
  <c r="AG182" i="26"/>
  <c r="AF182" i="26"/>
  <c r="AE182" i="26"/>
  <c r="G182" i="26"/>
  <c r="AM182" i="26" s="1"/>
  <c r="C182" i="26"/>
  <c r="AH181" i="26"/>
  <c r="AG181" i="26"/>
  <c r="AF181" i="26"/>
  <c r="AE181" i="26"/>
  <c r="G181" i="26"/>
  <c r="H181" i="26" s="1"/>
  <c r="C181" i="26"/>
  <c r="AH180" i="26"/>
  <c r="AG180" i="26"/>
  <c r="AF180" i="26"/>
  <c r="AE180" i="26"/>
  <c r="G180" i="26"/>
  <c r="H180" i="26" s="1"/>
  <c r="C180" i="26"/>
  <c r="AH179" i="26"/>
  <c r="AG179" i="26"/>
  <c r="AF179" i="26"/>
  <c r="AE179" i="26"/>
  <c r="G179" i="26"/>
  <c r="H179" i="26" s="1"/>
  <c r="C179" i="26"/>
  <c r="AH178" i="26"/>
  <c r="AG178" i="26"/>
  <c r="AF178" i="26"/>
  <c r="AE178" i="26"/>
  <c r="G178" i="26"/>
  <c r="H178" i="26" s="1"/>
  <c r="C178" i="26"/>
  <c r="AH177" i="26"/>
  <c r="AG177" i="26"/>
  <c r="AF177" i="26"/>
  <c r="AE177" i="26"/>
  <c r="G177" i="26"/>
  <c r="AM177" i="26" s="1"/>
  <c r="C177" i="26"/>
  <c r="AH176" i="26"/>
  <c r="AG176" i="26"/>
  <c r="AF176" i="26"/>
  <c r="AE176" i="26"/>
  <c r="G176" i="26"/>
  <c r="H176" i="26" s="1"/>
  <c r="C176" i="26"/>
  <c r="AH175" i="26"/>
  <c r="AG175" i="26"/>
  <c r="AF175" i="26"/>
  <c r="AE175" i="26"/>
  <c r="G175" i="26"/>
  <c r="AM175" i="26" s="1"/>
  <c r="C175" i="26"/>
  <c r="AH174" i="26"/>
  <c r="AG174" i="26"/>
  <c r="AF174" i="26"/>
  <c r="AE174" i="26"/>
  <c r="G174" i="26"/>
  <c r="AM174" i="26" s="1"/>
  <c r="C174" i="26"/>
  <c r="AH173" i="26"/>
  <c r="AG173" i="26"/>
  <c r="AF173" i="26"/>
  <c r="AE173" i="26"/>
  <c r="G173" i="26"/>
  <c r="H173" i="26" s="1"/>
  <c r="C173" i="26"/>
  <c r="AH172" i="26"/>
  <c r="AG172" i="26"/>
  <c r="AF172" i="26"/>
  <c r="AE172" i="26"/>
  <c r="G172" i="26"/>
  <c r="H172" i="26" s="1"/>
  <c r="C172" i="26"/>
  <c r="AH171" i="26"/>
  <c r="AG171" i="26"/>
  <c r="AF171" i="26"/>
  <c r="AE171" i="26"/>
  <c r="G171" i="26"/>
  <c r="H171" i="26" s="1"/>
  <c r="C171" i="26"/>
  <c r="AH170" i="26"/>
  <c r="AG170" i="26"/>
  <c r="AF170" i="26"/>
  <c r="AE170" i="26"/>
  <c r="G170" i="26"/>
  <c r="H170" i="26" s="1"/>
  <c r="C170" i="26"/>
  <c r="AH169" i="26"/>
  <c r="AG169" i="26"/>
  <c r="AF169" i="26"/>
  <c r="AE169" i="26"/>
  <c r="G169" i="26"/>
  <c r="H169" i="26" s="1"/>
  <c r="C169" i="26"/>
  <c r="AH168" i="26"/>
  <c r="AG168" i="26"/>
  <c r="AF168" i="26"/>
  <c r="AE168" i="26"/>
  <c r="G168" i="26"/>
  <c r="H168" i="26" s="1"/>
  <c r="C168" i="26"/>
  <c r="AH167" i="26"/>
  <c r="AG167" i="26"/>
  <c r="AF167" i="26"/>
  <c r="AE167" i="26"/>
  <c r="G167" i="26"/>
  <c r="H167" i="26" s="1"/>
  <c r="C167" i="26"/>
  <c r="AH166" i="26"/>
  <c r="AG166" i="26"/>
  <c r="AF166" i="26"/>
  <c r="AE166" i="26"/>
  <c r="G166" i="26"/>
  <c r="AM166" i="26" s="1"/>
  <c r="C166" i="26"/>
  <c r="AH165" i="26"/>
  <c r="AG165" i="26"/>
  <c r="AF165" i="26"/>
  <c r="AE165" i="26"/>
  <c r="G165" i="26"/>
  <c r="H165" i="26" s="1"/>
  <c r="C165" i="26"/>
  <c r="AH164" i="26"/>
  <c r="AG164" i="26"/>
  <c r="AF164" i="26"/>
  <c r="AE164" i="26"/>
  <c r="G164" i="26"/>
  <c r="H164" i="26" s="1"/>
  <c r="C164" i="26"/>
  <c r="AH163" i="26"/>
  <c r="AG163" i="26"/>
  <c r="AF163" i="26"/>
  <c r="AE163" i="26"/>
  <c r="G163" i="26"/>
  <c r="H163" i="26" s="1"/>
  <c r="C163" i="26"/>
  <c r="AH162" i="26"/>
  <c r="AG162" i="26"/>
  <c r="AF162" i="26"/>
  <c r="AE162" i="26"/>
  <c r="G162" i="26"/>
  <c r="AM162" i="26" s="1"/>
  <c r="C162" i="26"/>
  <c r="AH161" i="26"/>
  <c r="AG161" i="26"/>
  <c r="AF161" i="26"/>
  <c r="AE161" i="26"/>
  <c r="G161" i="26"/>
  <c r="H161" i="26" s="1"/>
  <c r="C161" i="26"/>
  <c r="AH160" i="26"/>
  <c r="AG160" i="26"/>
  <c r="AF160" i="26"/>
  <c r="AE160" i="26"/>
  <c r="G160" i="26"/>
  <c r="H160" i="26" s="1"/>
  <c r="C160" i="26"/>
  <c r="AH159" i="26"/>
  <c r="AG159" i="26"/>
  <c r="AF159" i="26"/>
  <c r="AE159" i="26"/>
  <c r="G159" i="26"/>
  <c r="H159" i="26" s="1"/>
  <c r="C159" i="26"/>
  <c r="AH158" i="26"/>
  <c r="AG158" i="26"/>
  <c r="AF158" i="26"/>
  <c r="AE158" i="26"/>
  <c r="G158" i="26"/>
  <c r="H158" i="26" s="1"/>
  <c r="C158" i="26"/>
  <c r="AH157" i="26"/>
  <c r="AG157" i="26"/>
  <c r="AF157" i="26"/>
  <c r="AE157" i="26"/>
  <c r="G157" i="26"/>
  <c r="H157" i="26" s="1"/>
  <c r="C157" i="26"/>
  <c r="AH156" i="26"/>
  <c r="AG156" i="26"/>
  <c r="AF156" i="26"/>
  <c r="AE156" i="26"/>
  <c r="G156" i="26"/>
  <c r="H156" i="26" s="1"/>
  <c r="C156" i="26"/>
  <c r="AH155" i="26"/>
  <c r="AG155" i="26"/>
  <c r="AF155" i="26"/>
  <c r="AE155" i="26"/>
  <c r="G155" i="26"/>
  <c r="H155" i="26" s="1"/>
  <c r="C155" i="26"/>
  <c r="AH154" i="26"/>
  <c r="AG154" i="26"/>
  <c r="AF154" i="26"/>
  <c r="AE154" i="26"/>
  <c r="G154" i="26"/>
  <c r="H154" i="26" s="1"/>
  <c r="C154" i="26"/>
  <c r="AH153" i="26"/>
  <c r="AG153" i="26"/>
  <c r="AF153" i="26"/>
  <c r="AE153" i="26"/>
  <c r="G153" i="26"/>
  <c r="H153" i="26" s="1"/>
  <c r="C153" i="26"/>
  <c r="AH152" i="26"/>
  <c r="AG152" i="26"/>
  <c r="AF152" i="26"/>
  <c r="AE152" i="26"/>
  <c r="G152" i="26"/>
  <c r="AM152" i="26" s="1"/>
  <c r="C152" i="26"/>
  <c r="AH151" i="26"/>
  <c r="AG151" i="26"/>
  <c r="AF151" i="26"/>
  <c r="AE151" i="26"/>
  <c r="G151" i="26"/>
  <c r="H151" i="26" s="1"/>
  <c r="C151" i="26"/>
  <c r="AH150" i="26"/>
  <c r="AG150" i="26"/>
  <c r="AF150" i="26"/>
  <c r="AE150" i="26"/>
  <c r="G150" i="26"/>
  <c r="AM150" i="26" s="1"/>
  <c r="C150" i="26"/>
  <c r="AH149" i="26"/>
  <c r="AG149" i="26"/>
  <c r="AF149" i="26"/>
  <c r="AE149" i="26"/>
  <c r="G149" i="26"/>
  <c r="H149" i="26" s="1"/>
  <c r="C149" i="26"/>
  <c r="AH148" i="26"/>
  <c r="AG148" i="26"/>
  <c r="AF148" i="26"/>
  <c r="AE148" i="26"/>
  <c r="G148" i="26"/>
  <c r="AM148" i="26" s="1"/>
  <c r="C148" i="26"/>
  <c r="AH147" i="26"/>
  <c r="AG147" i="26"/>
  <c r="AF147" i="26"/>
  <c r="AE147" i="26"/>
  <c r="G147" i="26"/>
  <c r="H147" i="26" s="1"/>
  <c r="C147" i="26"/>
  <c r="AH146" i="26"/>
  <c r="AG146" i="26"/>
  <c r="AF146" i="26"/>
  <c r="AE146" i="26"/>
  <c r="G146" i="26"/>
  <c r="H146" i="26" s="1"/>
  <c r="C146" i="26"/>
  <c r="AH145" i="26"/>
  <c r="AG145" i="26"/>
  <c r="AF145" i="26"/>
  <c r="AE145" i="26"/>
  <c r="G145" i="26"/>
  <c r="H145" i="26" s="1"/>
  <c r="C145" i="26"/>
  <c r="AH144" i="26"/>
  <c r="AG144" i="26"/>
  <c r="AF144" i="26"/>
  <c r="AE144" i="26"/>
  <c r="G144" i="26"/>
  <c r="AM144" i="26" s="1"/>
  <c r="C144" i="26"/>
  <c r="AH143" i="26"/>
  <c r="AG143" i="26"/>
  <c r="AF143" i="26"/>
  <c r="AE143" i="26"/>
  <c r="G143" i="26"/>
  <c r="H143" i="26" s="1"/>
  <c r="C143" i="26"/>
  <c r="AH142" i="26"/>
  <c r="AG142" i="26"/>
  <c r="AF142" i="26"/>
  <c r="AE142" i="26"/>
  <c r="G142" i="26"/>
  <c r="H142" i="26" s="1"/>
  <c r="C142" i="26"/>
  <c r="AH141" i="26"/>
  <c r="AG141" i="26"/>
  <c r="AF141" i="26"/>
  <c r="AE141" i="26"/>
  <c r="G141" i="26"/>
  <c r="H141" i="26" s="1"/>
  <c r="C141" i="26"/>
  <c r="AH140" i="26"/>
  <c r="AG140" i="26"/>
  <c r="AF140" i="26"/>
  <c r="AE140" i="26"/>
  <c r="G140" i="26"/>
  <c r="H140" i="26" s="1"/>
  <c r="C140" i="26"/>
  <c r="AH139" i="26"/>
  <c r="AG139" i="26"/>
  <c r="AF139" i="26"/>
  <c r="AE139" i="26"/>
  <c r="G139" i="26"/>
  <c r="H139" i="26" s="1"/>
  <c r="C139" i="26"/>
  <c r="AH138" i="26"/>
  <c r="AG138" i="26"/>
  <c r="AF138" i="26"/>
  <c r="AE138" i="26"/>
  <c r="G138" i="26"/>
  <c r="AM138" i="26" s="1"/>
  <c r="C138" i="26"/>
  <c r="AH137" i="26"/>
  <c r="AG137" i="26"/>
  <c r="AF137" i="26"/>
  <c r="AE137" i="26"/>
  <c r="G137" i="26"/>
  <c r="AM137" i="26" s="1"/>
  <c r="C137" i="26"/>
  <c r="AH136" i="26"/>
  <c r="AG136" i="26"/>
  <c r="AF136" i="26"/>
  <c r="AE136" i="26"/>
  <c r="G136" i="26"/>
  <c r="AM136" i="26" s="1"/>
  <c r="C136" i="26"/>
  <c r="AH135" i="26"/>
  <c r="AG135" i="26"/>
  <c r="AF135" i="26"/>
  <c r="AE135" i="26"/>
  <c r="G135" i="26"/>
  <c r="H135" i="26" s="1"/>
  <c r="C135" i="26"/>
  <c r="AH134" i="26"/>
  <c r="AG134" i="26"/>
  <c r="AF134" i="26"/>
  <c r="AE134" i="26"/>
  <c r="G134" i="26"/>
  <c r="H134" i="26" s="1"/>
  <c r="C134" i="26"/>
  <c r="AH133" i="26"/>
  <c r="AG133" i="26"/>
  <c r="AF133" i="26"/>
  <c r="AE133" i="26"/>
  <c r="G133" i="26"/>
  <c r="H133" i="26" s="1"/>
  <c r="C133" i="26"/>
  <c r="AH132" i="26"/>
  <c r="AG132" i="26"/>
  <c r="AF132" i="26"/>
  <c r="AE132" i="26"/>
  <c r="G132" i="26"/>
  <c r="H132" i="26" s="1"/>
  <c r="C132" i="26"/>
  <c r="AH131" i="26"/>
  <c r="AG131" i="26"/>
  <c r="AF131" i="26"/>
  <c r="AE131" i="26"/>
  <c r="G131" i="26"/>
  <c r="H131" i="26" s="1"/>
  <c r="C131" i="26"/>
  <c r="AH130" i="26"/>
  <c r="AG130" i="26"/>
  <c r="AF130" i="26"/>
  <c r="AE130" i="26"/>
  <c r="G130" i="26"/>
  <c r="H130" i="26" s="1"/>
  <c r="C130" i="26"/>
  <c r="AH129" i="26"/>
  <c r="AG129" i="26"/>
  <c r="AF129" i="26"/>
  <c r="AE129" i="26"/>
  <c r="G129" i="26"/>
  <c r="H129" i="26" s="1"/>
  <c r="C129" i="26"/>
  <c r="AH128" i="26"/>
  <c r="AG128" i="26"/>
  <c r="AF128" i="26"/>
  <c r="AE128" i="26"/>
  <c r="G128" i="26"/>
  <c r="H128" i="26" s="1"/>
  <c r="C128" i="26"/>
  <c r="AH127" i="26"/>
  <c r="AG127" i="26"/>
  <c r="AF127" i="26"/>
  <c r="AE127" i="26"/>
  <c r="G127" i="26"/>
  <c r="H127" i="26" s="1"/>
  <c r="C127" i="26"/>
  <c r="AH126" i="26"/>
  <c r="AG126" i="26"/>
  <c r="AF126" i="26"/>
  <c r="AE126" i="26"/>
  <c r="G126" i="26"/>
  <c r="AM126" i="26" s="1"/>
  <c r="C126" i="26"/>
  <c r="AH125" i="26"/>
  <c r="AG125" i="26"/>
  <c r="AF125" i="26"/>
  <c r="AE125" i="26"/>
  <c r="G125" i="26"/>
  <c r="H125" i="26" s="1"/>
  <c r="C125" i="26"/>
  <c r="AH124" i="26"/>
  <c r="AG124" i="26"/>
  <c r="AF124" i="26"/>
  <c r="AE124" i="26"/>
  <c r="G124" i="26"/>
  <c r="H124" i="26" s="1"/>
  <c r="C124" i="26"/>
  <c r="AH123" i="26"/>
  <c r="AG123" i="26"/>
  <c r="AF123" i="26"/>
  <c r="AE123" i="26"/>
  <c r="G123" i="26"/>
  <c r="H123" i="26" s="1"/>
  <c r="C123" i="26"/>
  <c r="AH122" i="26"/>
  <c r="AG122" i="26"/>
  <c r="AF122" i="26"/>
  <c r="AE122" i="26"/>
  <c r="G122" i="26"/>
  <c r="H122" i="26" s="1"/>
  <c r="C122" i="26"/>
  <c r="AH121" i="26"/>
  <c r="AG121" i="26"/>
  <c r="AF121" i="26"/>
  <c r="AE121" i="26"/>
  <c r="G121" i="26"/>
  <c r="H121" i="26" s="1"/>
  <c r="C121" i="26"/>
  <c r="AH120" i="26"/>
  <c r="AG120" i="26"/>
  <c r="AF120" i="26"/>
  <c r="AE120" i="26"/>
  <c r="G120" i="26"/>
  <c r="AM120" i="26" s="1"/>
  <c r="C120" i="26"/>
  <c r="AH119" i="26"/>
  <c r="AG119" i="26"/>
  <c r="AF119" i="26"/>
  <c r="AE119" i="26"/>
  <c r="G119" i="26"/>
  <c r="AM119" i="26" s="1"/>
  <c r="C119" i="26"/>
  <c r="AH118" i="26"/>
  <c r="AG118" i="26"/>
  <c r="AF118" i="26"/>
  <c r="AE118" i="26"/>
  <c r="G118" i="26"/>
  <c r="H118" i="26" s="1"/>
  <c r="C118" i="26"/>
  <c r="AH117" i="26"/>
  <c r="AG117" i="26"/>
  <c r="AF117" i="26"/>
  <c r="AE117" i="26"/>
  <c r="G117" i="26"/>
  <c r="H117" i="26" s="1"/>
  <c r="C117" i="26"/>
  <c r="AH116" i="26"/>
  <c r="AG116" i="26"/>
  <c r="AF116" i="26"/>
  <c r="AE116" i="26"/>
  <c r="G116" i="26"/>
  <c r="AM116" i="26" s="1"/>
  <c r="C116" i="26"/>
  <c r="AH115" i="26"/>
  <c r="AG115" i="26"/>
  <c r="AF115" i="26"/>
  <c r="AE115" i="26"/>
  <c r="G115" i="26"/>
  <c r="AM115" i="26" s="1"/>
  <c r="C115" i="26"/>
  <c r="AH114" i="26"/>
  <c r="AG114" i="26"/>
  <c r="AF114" i="26"/>
  <c r="AE114" i="26"/>
  <c r="G114" i="26"/>
  <c r="H114" i="26" s="1"/>
  <c r="C114" i="26"/>
  <c r="AH113" i="26"/>
  <c r="AG113" i="26"/>
  <c r="AF113" i="26"/>
  <c r="AE113" i="26"/>
  <c r="G113" i="26"/>
  <c r="AM113" i="26" s="1"/>
  <c r="C113" i="26"/>
  <c r="AH112" i="26"/>
  <c r="AG112" i="26"/>
  <c r="AF112" i="26"/>
  <c r="AE112" i="26"/>
  <c r="G112" i="26"/>
  <c r="H112" i="26" s="1"/>
  <c r="C112" i="26"/>
  <c r="AH111" i="26"/>
  <c r="AG111" i="26"/>
  <c r="AF111" i="26"/>
  <c r="AE111" i="26"/>
  <c r="G111" i="26"/>
  <c r="H111" i="26" s="1"/>
  <c r="C111" i="26"/>
  <c r="AH110" i="26"/>
  <c r="AG110" i="26"/>
  <c r="AF110" i="26"/>
  <c r="AE110" i="26"/>
  <c r="G110" i="26"/>
  <c r="H110" i="26" s="1"/>
  <c r="C110" i="26"/>
  <c r="AH109" i="26"/>
  <c r="AG109" i="26"/>
  <c r="AF109" i="26"/>
  <c r="AE109" i="26"/>
  <c r="G109" i="26"/>
  <c r="H109" i="26" s="1"/>
  <c r="C109" i="26"/>
  <c r="AH108" i="26"/>
  <c r="AG108" i="26"/>
  <c r="AF108" i="26"/>
  <c r="AE108" i="26"/>
  <c r="G108" i="26"/>
  <c r="AM108" i="26" s="1"/>
  <c r="C108" i="26"/>
  <c r="AH107" i="26"/>
  <c r="AG107" i="26"/>
  <c r="AF107" i="26"/>
  <c r="AE107" i="26"/>
  <c r="G107" i="26"/>
  <c r="AM107" i="26" s="1"/>
  <c r="C107" i="26"/>
  <c r="AH106" i="26"/>
  <c r="AG106" i="26"/>
  <c r="AF106" i="26"/>
  <c r="AE106" i="26"/>
  <c r="G106" i="26"/>
  <c r="AM106" i="26" s="1"/>
  <c r="C106" i="26"/>
  <c r="AH105" i="26"/>
  <c r="AG105" i="26"/>
  <c r="AF105" i="26"/>
  <c r="AE105" i="26"/>
  <c r="G105" i="26"/>
  <c r="H105" i="26" s="1"/>
  <c r="C105" i="26"/>
  <c r="AH104" i="26"/>
  <c r="AG104" i="26"/>
  <c r="AF104" i="26"/>
  <c r="AE104" i="26"/>
  <c r="G104" i="26"/>
  <c r="H104" i="26" s="1"/>
  <c r="C104" i="26"/>
  <c r="AH103" i="26"/>
  <c r="AG103" i="26"/>
  <c r="AF103" i="26"/>
  <c r="AE103" i="26"/>
  <c r="G103" i="26"/>
  <c r="H103" i="26" s="1"/>
  <c r="C103" i="26"/>
  <c r="AH102" i="26"/>
  <c r="AG102" i="26"/>
  <c r="AF102" i="26"/>
  <c r="AE102" i="26"/>
  <c r="G102" i="26"/>
  <c r="H102" i="26" s="1"/>
  <c r="C102" i="26"/>
  <c r="AH101" i="26"/>
  <c r="AG101" i="26"/>
  <c r="AF101" i="26"/>
  <c r="AE101" i="26"/>
  <c r="G101" i="26"/>
  <c r="H101" i="26" s="1"/>
  <c r="C101" i="26"/>
  <c r="AH100" i="26"/>
  <c r="AG100" i="26"/>
  <c r="AF100" i="26"/>
  <c r="AE100" i="26"/>
  <c r="G100" i="26"/>
  <c r="H100" i="26" s="1"/>
  <c r="C100" i="26"/>
  <c r="AH99" i="26"/>
  <c r="AG99" i="26"/>
  <c r="AF99" i="26"/>
  <c r="AE99" i="26"/>
  <c r="G99" i="26"/>
  <c r="AM99" i="26" s="1"/>
  <c r="C99" i="26"/>
  <c r="AH98" i="26"/>
  <c r="AG98" i="26"/>
  <c r="AF98" i="26"/>
  <c r="AE98" i="26"/>
  <c r="G98" i="26"/>
  <c r="H98" i="26" s="1"/>
  <c r="C98" i="26"/>
  <c r="AH97" i="26"/>
  <c r="AG97" i="26"/>
  <c r="AF97" i="26"/>
  <c r="AE97" i="26"/>
  <c r="G97" i="26"/>
  <c r="H97" i="26" s="1"/>
  <c r="C97" i="26"/>
  <c r="AH96" i="26"/>
  <c r="AG96" i="26"/>
  <c r="AF96" i="26"/>
  <c r="AE96" i="26"/>
  <c r="G96" i="26"/>
  <c r="H96" i="26" s="1"/>
  <c r="C96" i="26"/>
  <c r="AH95" i="26"/>
  <c r="AG95" i="26"/>
  <c r="AF95" i="26"/>
  <c r="AE95" i="26"/>
  <c r="G95" i="26"/>
  <c r="H95" i="26" s="1"/>
  <c r="C95" i="26"/>
  <c r="AH94" i="26"/>
  <c r="AG94" i="26"/>
  <c r="AF94" i="26"/>
  <c r="AE94" i="26"/>
  <c r="G94" i="26"/>
  <c r="H94" i="26" s="1"/>
  <c r="C94" i="26"/>
  <c r="AH93" i="26"/>
  <c r="AG93" i="26"/>
  <c r="AF93" i="26"/>
  <c r="AE93" i="26"/>
  <c r="G93" i="26"/>
  <c r="AM93" i="26" s="1"/>
  <c r="C93" i="26"/>
  <c r="AH92" i="26"/>
  <c r="AG92" i="26"/>
  <c r="AF92" i="26"/>
  <c r="AE92" i="26"/>
  <c r="G92" i="26"/>
  <c r="H92" i="26" s="1"/>
  <c r="C92" i="26"/>
  <c r="AH91" i="26"/>
  <c r="AG91" i="26"/>
  <c r="AF91" i="26"/>
  <c r="AE91" i="26"/>
  <c r="G91" i="26"/>
  <c r="AM91" i="26" s="1"/>
  <c r="C91" i="26"/>
  <c r="AH90" i="26"/>
  <c r="AG90" i="26"/>
  <c r="AF90" i="26"/>
  <c r="AE90" i="26"/>
  <c r="G90" i="26"/>
  <c r="H90" i="26" s="1"/>
  <c r="C90" i="26"/>
  <c r="AH89" i="26"/>
  <c r="AG89" i="26"/>
  <c r="AF89" i="26"/>
  <c r="AE89" i="26"/>
  <c r="G89" i="26"/>
  <c r="AM89" i="26" s="1"/>
  <c r="C89" i="26"/>
  <c r="AH88" i="26"/>
  <c r="AG88" i="26"/>
  <c r="AF88" i="26"/>
  <c r="AE88" i="26"/>
  <c r="G88" i="26"/>
  <c r="H88" i="26" s="1"/>
  <c r="C88" i="26"/>
  <c r="AH87" i="26"/>
  <c r="AG87" i="26"/>
  <c r="AF87" i="26"/>
  <c r="AE87" i="26"/>
  <c r="G87" i="26"/>
  <c r="H87" i="26" s="1"/>
  <c r="C87" i="26"/>
  <c r="AH86" i="26"/>
  <c r="AG86" i="26"/>
  <c r="AF86" i="26"/>
  <c r="AE86" i="26"/>
  <c r="G86" i="26"/>
  <c r="AM86" i="26" s="1"/>
  <c r="C86" i="26"/>
  <c r="AH85" i="26"/>
  <c r="AG85" i="26"/>
  <c r="AF85" i="26"/>
  <c r="AE85" i="26"/>
  <c r="G85" i="26"/>
  <c r="AM85" i="26" s="1"/>
  <c r="C85" i="26"/>
  <c r="AH84" i="26"/>
  <c r="AG84" i="26"/>
  <c r="AF84" i="26"/>
  <c r="AE84" i="26"/>
  <c r="G84" i="26"/>
  <c r="AM84" i="26" s="1"/>
  <c r="C84" i="26"/>
  <c r="AH83" i="26"/>
  <c r="AG83" i="26"/>
  <c r="AF83" i="26"/>
  <c r="AE83" i="26"/>
  <c r="G83" i="26"/>
  <c r="H83" i="26" s="1"/>
  <c r="C83" i="26"/>
  <c r="AH82" i="26"/>
  <c r="AG82" i="26"/>
  <c r="AF82" i="26"/>
  <c r="AE82" i="26"/>
  <c r="G82" i="26"/>
  <c r="H82" i="26" s="1"/>
  <c r="C82" i="26"/>
  <c r="AH81" i="26"/>
  <c r="AG81" i="26"/>
  <c r="AF81" i="26"/>
  <c r="AE81" i="26"/>
  <c r="G81" i="26"/>
  <c r="H81" i="26" s="1"/>
  <c r="C81" i="26"/>
  <c r="AH80" i="26"/>
  <c r="AG80" i="26"/>
  <c r="AF80" i="26"/>
  <c r="AE80" i="26"/>
  <c r="G80" i="26"/>
  <c r="H80" i="26" s="1"/>
  <c r="C80" i="26"/>
  <c r="AH79" i="26"/>
  <c r="AG79" i="26"/>
  <c r="AF79" i="26"/>
  <c r="AE79" i="26"/>
  <c r="G79" i="26"/>
  <c r="H79" i="26" s="1"/>
  <c r="C79" i="26"/>
  <c r="AH78" i="26"/>
  <c r="AG78" i="26"/>
  <c r="AF78" i="26"/>
  <c r="AE78" i="26"/>
  <c r="G78" i="26"/>
  <c r="AM78" i="26" s="1"/>
  <c r="C78" i="26"/>
  <c r="AH77" i="26"/>
  <c r="AG77" i="26"/>
  <c r="AF77" i="26"/>
  <c r="AE77" i="26"/>
  <c r="G77" i="26"/>
  <c r="H77" i="26" s="1"/>
  <c r="C77" i="26"/>
  <c r="AH76" i="26"/>
  <c r="AG76" i="26"/>
  <c r="AF76" i="26"/>
  <c r="AE76" i="26"/>
  <c r="G76" i="26"/>
  <c r="H76" i="26" s="1"/>
  <c r="C76" i="26"/>
  <c r="AH75" i="26"/>
  <c r="AG75" i="26"/>
  <c r="AF75" i="26"/>
  <c r="AE75" i="26"/>
  <c r="G75" i="26"/>
  <c r="AM75" i="26" s="1"/>
  <c r="C75" i="26"/>
  <c r="AH74" i="26"/>
  <c r="AG74" i="26"/>
  <c r="AF74" i="26"/>
  <c r="AE74" i="26"/>
  <c r="G74" i="26"/>
  <c r="AM74" i="26" s="1"/>
  <c r="C74" i="26"/>
  <c r="AH73" i="26"/>
  <c r="AG73" i="26"/>
  <c r="AF73" i="26"/>
  <c r="AE73" i="26"/>
  <c r="G73" i="26"/>
  <c r="H73" i="26" s="1"/>
  <c r="C73" i="26"/>
  <c r="AH72" i="26"/>
  <c r="AG72" i="26"/>
  <c r="AF72" i="26"/>
  <c r="AE72" i="26"/>
  <c r="G72" i="26"/>
  <c r="AM72" i="26" s="1"/>
  <c r="C72" i="26"/>
  <c r="AH71" i="26"/>
  <c r="AG71" i="26"/>
  <c r="AF71" i="26"/>
  <c r="AE71" i="26"/>
  <c r="G71" i="26"/>
  <c r="H71" i="26" s="1"/>
  <c r="C71" i="26"/>
  <c r="AH70" i="26"/>
  <c r="AG70" i="26"/>
  <c r="AF70" i="26"/>
  <c r="AE70" i="26"/>
  <c r="G70" i="26"/>
  <c r="H70" i="26" s="1"/>
  <c r="C70" i="26"/>
  <c r="AH69" i="26"/>
  <c r="AG69" i="26"/>
  <c r="AF69" i="26"/>
  <c r="AE69" i="26"/>
  <c r="G69" i="26"/>
  <c r="H69" i="26" s="1"/>
  <c r="C69" i="26"/>
  <c r="AH68" i="26"/>
  <c r="AG68" i="26"/>
  <c r="AF68" i="26"/>
  <c r="AE68" i="26"/>
  <c r="G68" i="26"/>
  <c r="H68" i="26" s="1"/>
  <c r="C68" i="26"/>
  <c r="AH67" i="26"/>
  <c r="AG67" i="26"/>
  <c r="AF67" i="26"/>
  <c r="AE67" i="26"/>
  <c r="G67" i="26"/>
  <c r="H67" i="26" s="1"/>
  <c r="C67" i="26"/>
  <c r="AH66" i="26"/>
  <c r="AG66" i="26"/>
  <c r="AF66" i="26"/>
  <c r="AE66" i="26"/>
  <c r="G66" i="26"/>
  <c r="AM66" i="26" s="1"/>
  <c r="C66" i="26"/>
  <c r="AH65" i="26"/>
  <c r="AG65" i="26"/>
  <c r="AF65" i="26"/>
  <c r="AE65" i="26"/>
  <c r="G65" i="26"/>
  <c r="H65" i="26" s="1"/>
  <c r="C65" i="26"/>
  <c r="AH64" i="26"/>
  <c r="AG64" i="26"/>
  <c r="AF64" i="26"/>
  <c r="AE64" i="26"/>
  <c r="G64" i="26"/>
  <c r="H64" i="26" s="1"/>
  <c r="C64" i="26"/>
  <c r="AH63" i="26"/>
  <c r="AG63" i="26"/>
  <c r="AF63" i="26"/>
  <c r="AE63" i="26"/>
  <c r="G63" i="26"/>
  <c r="AM63" i="26" s="1"/>
  <c r="C63" i="26"/>
  <c r="AH62" i="26"/>
  <c r="AG62" i="26"/>
  <c r="AF62" i="26"/>
  <c r="AE62" i="26"/>
  <c r="G62" i="26"/>
  <c r="AM62" i="26" s="1"/>
  <c r="C62" i="26"/>
  <c r="AH61" i="26"/>
  <c r="AG61" i="26"/>
  <c r="AF61" i="26"/>
  <c r="AE61" i="26"/>
  <c r="G61" i="26"/>
  <c r="H61" i="26" s="1"/>
  <c r="C61" i="26"/>
  <c r="AH60" i="26"/>
  <c r="AG60" i="26"/>
  <c r="AF60" i="26"/>
  <c r="AE60" i="26"/>
  <c r="G60" i="26"/>
  <c r="AM60" i="26" s="1"/>
  <c r="C60" i="26"/>
  <c r="AH59" i="26"/>
  <c r="AG59" i="26"/>
  <c r="AF59" i="26"/>
  <c r="AE59" i="26"/>
  <c r="G59" i="26"/>
  <c r="H59" i="26" s="1"/>
  <c r="C59" i="26"/>
  <c r="AH58" i="26"/>
  <c r="AG58" i="26"/>
  <c r="AF58" i="26"/>
  <c r="AE58" i="26"/>
  <c r="G58" i="26"/>
  <c r="H58" i="26" s="1"/>
  <c r="C58" i="26"/>
  <c r="AH57" i="26"/>
  <c r="AG57" i="26"/>
  <c r="AF57" i="26"/>
  <c r="AE57" i="26"/>
  <c r="G57" i="26"/>
  <c r="H57" i="26" s="1"/>
  <c r="C57" i="26"/>
  <c r="AH56" i="26"/>
  <c r="AG56" i="26"/>
  <c r="AF56" i="26"/>
  <c r="AE56" i="26"/>
  <c r="G56" i="26"/>
  <c r="H56" i="26" s="1"/>
  <c r="C56" i="26"/>
  <c r="AH55" i="26"/>
  <c r="AG55" i="26"/>
  <c r="AF55" i="26"/>
  <c r="AE55" i="26"/>
  <c r="G55" i="26"/>
  <c r="H55" i="26" s="1"/>
  <c r="C55" i="26"/>
  <c r="AH54" i="26"/>
  <c r="AG54" i="26"/>
  <c r="AF54" i="26"/>
  <c r="AE54" i="26"/>
  <c r="G54" i="26"/>
  <c r="AM54" i="26" s="1"/>
  <c r="C54" i="26"/>
  <c r="AH53" i="26"/>
  <c r="AG53" i="26"/>
  <c r="AF53" i="26"/>
  <c r="AE53" i="26"/>
  <c r="G53" i="26"/>
  <c r="H53" i="26" s="1"/>
  <c r="C53" i="26"/>
  <c r="AH52" i="26"/>
  <c r="AG52" i="26"/>
  <c r="AF52" i="26"/>
  <c r="AE52" i="26"/>
  <c r="G52" i="26"/>
  <c r="H52" i="26" s="1"/>
  <c r="C52" i="26"/>
  <c r="AH51" i="26"/>
  <c r="AG51" i="26"/>
  <c r="AF51" i="26"/>
  <c r="AE51" i="26"/>
  <c r="G51" i="26"/>
  <c r="AM51" i="26" s="1"/>
  <c r="C51" i="26"/>
  <c r="AH50" i="26"/>
  <c r="AG50" i="26"/>
  <c r="AF50" i="26"/>
  <c r="AE50" i="26"/>
  <c r="G50" i="26"/>
  <c r="AM50" i="26" s="1"/>
  <c r="C50" i="26"/>
  <c r="AH49" i="26"/>
  <c r="AG49" i="26"/>
  <c r="AF49" i="26"/>
  <c r="AE49" i="26"/>
  <c r="G49" i="26"/>
  <c r="H49" i="26" s="1"/>
  <c r="C49" i="26"/>
  <c r="AH48" i="26"/>
  <c r="AG48" i="26"/>
  <c r="AF48" i="26"/>
  <c r="AE48" i="26"/>
  <c r="G48" i="26"/>
  <c r="AM48" i="26" s="1"/>
  <c r="C48" i="26"/>
  <c r="AH47" i="26"/>
  <c r="AG47" i="26"/>
  <c r="AF47" i="26"/>
  <c r="AE47" i="26"/>
  <c r="G47" i="26"/>
  <c r="H47" i="26" s="1"/>
  <c r="C47" i="26"/>
  <c r="AH46" i="26"/>
  <c r="AG46" i="26"/>
  <c r="AF46" i="26"/>
  <c r="AE46" i="26"/>
  <c r="G46" i="26"/>
  <c r="H46" i="26" s="1"/>
  <c r="C46" i="26"/>
  <c r="AH45" i="26"/>
  <c r="AG45" i="26"/>
  <c r="AF45" i="26"/>
  <c r="AE45" i="26"/>
  <c r="G45" i="26"/>
  <c r="H45" i="26" s="1"/>
  <c r="C45" i="26"/>
  <c r="AH44" i="26"/>
  <c r="AG44" i="26"/>
  <c r="AF44" i="26"/>
  <c r="AE44" i="26"/>
  <c r="G44" i="26"/>
  <c r="H44" i="26" s="1"/>
  <c r="C44" i="26"/>
  <c r="AH43" i="26"/>
  <c r="AG43" i="26"/>
  <c r="AF43" i="26"/>
  <c r="AE43" i="26"/>
  <c r="G43" i="26"/>
  <c r="H43" i="26" s="1"/>
  <c r="C43" i="26"/>
  <c r="AH42" i="26"/>
  <c r="AG42" i="26"/>
  <c r="AF42" i="26"/>
  <c r="AE42" i="26"/>
  <c r="G42" i="26"/>
  <c r="AM42" i="26" s="1"/>
  <c r="C42" i="26"/>
  <c r="AH41" i="26"/>
  <c r="AG41" i="26"/>
  <c r="AF41" i="26"/>
  <c r="AE41" i="26"/>
  <c r="G41" i="26"/>
  <c r="H41" i="26" s="1"/>
  <c r="C41" i="26"/>
  <c r="AH40" i="26"/>
  <c r="AG40" i="26"/>
  <c r="AF40" i="26"/>
  <c r="AE40" i="26"/>
  <c r="G40" i="26"/>
  <c r="AM40" i="26" s="1"/>
  <c r="C40" i="26"/>
  <c r="AH39" i="26"/>
  <c r="AG39" i="26"/>
  <c r="AF39" i="26"/>
  <c r="AE39" i="26"/>
  <c r="G39" i="26"/>
  <c r="H39" i="26" s="1"/>
  <c r="C39" i="26"/>
  <c r="AH38" i="26"/>
  <c r="AG38" i="26"/>
  <c r="AF38" i="26"/>
  <c r="AE38" i="26"/>
  <c r="G38" i="26"/>
  <c r="AM38" i="26" s="1"/>
  <c r="C38" i="26"/>
  <c r="AH37" i="26"/>
  <c r="AG37" i="26"/>
  <c r="AF37" i="26"/>
  <c r="AE37" i="26"/>
  <c r="G37" i="26"/>
  <c r="AM37" i="26" s="1"/>
  <c r="C37" i="26"/>
  <c r="AH36" i="26"/>
  <c r="AG36" i="26"/>
  <c r="AF36" i="26"/>
  <c r="AE36" i="26"/>
  <c r="G36" i="26"/>
  <c r="AM36" i="26" s="1"/>
  <c r="C36" i="26"/>
  <c r="AH35" i="26"/>
  <c r="AG35" i="26"/>
  <c r="AF35" i="26"/>
  <c r="AE35" i="26"/>
  <c r="G35" i="26"/>
  <c r="H35" i="26" s="1"/>
  <c r="C35" i="26"/>
  <c r="AH34" i="26"/>
  <c r="AG34" i="26"/>
  <c r="AF34" i="26"/>
  <c r="AE34" i="26"/>
  <c r="G34" i="26"/>
  <c r="H34" i="26" s="1"/>
  <c r="C34" i="26"/>
  <c r="AH33" i="26"/>
  <c r="AG33" i="26"/>
  <c r="AF33" i="26"/>
  <c r="AE33" i="26"/>
  <c r="G33" i="26"/>
  <c r="H33" i="26" s="1"/>
  <c r="C33" i="26"/>
  <c r="AH32" i="26"/>
  <c r="AG32" i="26"/>
  <c r="AF32" i="26"/>
  <c r="AE32" i="26"/>
  <c r="G32" i="26"/>
  <c r="H32" i="26" s="1"/>
  <c r="C32" i="26"/>
  <c r="AH31" i="26"/>
  <c r="AG31" i="26"/>
  <c r="AF31" i="26"/>
  <c r="AE31" i="26"/>
  <c r="G31" i="26"/>
  <c r="H31" i="26" s="1"/>
  <c r="C31" i="26"/>
  <c r="AH30" i="26"/>
  <c r="AG30" i="26"/>
  <c r="AF30" i="26"/>
  <c r="AE30" i="26"/>
  <c r="G30" i="26"/>
  <c r="AM30" i="26" s="1"/>
  <c r="C30" i="26"/>
  <c r="AH29" i="26"/>
  <c r="AG29" i="26"/>
  <c r="AF29" i="26"/>
  <c r="AE29" i="26"/>
  <c r="G29" i="26"/>
  <c r="H29" i="26" s="1"/>
  <c r="C29" i="26"/>
  <c r="AH28" i="26"/>
  <c r="AG28" i="26"/>
  <c r="AF28" i="26"/>
  <c r="AE28" i="26"/>
  <c r="G28" i="26"/>
  <c r="AM28" i="26" s="1"/>
  <c r="C28" i="26"/>
  <c r="AH27" i="26"/>
  <c r="AG27" i="26"/>
  <c r="AF27" i="26"/>
  <c r="AE27" i="26"/>
  <c r="G27" i="26"/>
  <c r="H27" i="26" s="1"/>
  <c r="C27" i="26"/>
  <c r="AH26" i="26"/>
  <c r="AG26" i="26"/>
  <c r="AF26" i="26"/>
  <c r="AE26" i="26"/>
  <c r="G26" i="26"/>
  <c r="AM26" i="26" s="1"/>
  <c r="C26" i="26"/>
  <c r="AH25" i="26"/>
  <c r="AG25" i="26"/>
  <c r="AF25" i="26"/>
  <c r="AE25" i="26"/>
  <c r="G25" i="26"/>
  <c r="AM25" i="26" s="1"/>
  <c r="C25" i="26"/>
  <c r="AH24" i="26"/>
  <c r="AG24" i="26"/>
  <c r="AF24" i="26"/>
  <c r="AE24" i="26"/>
  <c r="G24" i="26"/>
  <c r="AM24" i="26" s="1"/>
  <c r="C24" i="26"/>
  <c r="AH23" i="26"/>
  <c r="AG23" i="26"/>
  <c r="AF23" i="26"/>
  <c r="AE23" i="26"/>
  <c r="G23" i="26"/>
  <c r="H23" i="26" s="1"/>
  <c r="C23" i="26"/>
  <c r="AH22" i="26"/>
  <c r="AG22" i="26"/>
  <c r="AF22" i="26"/>
  <c r="AE22" i="26"/>
  <c r="G22" i="26"/>
  <c r="H22" i="26" s="1"/>
  <c r="C22" i="26"/>
  <c r="AH21" i="26"/>
  <c r="AG21" i="26"/>
  <c r="AF21" i="26"/>
  <c r="AE21" i="26"/>
  <c r="G21" i="26"/>
  <c r="H21" i="26" s="1"/>
  <c r="C21" i="26"/>
  <c r="AH20" i="26"/>
  <c r="AG20" i="26"/>
  <c r="AF20" i="26"/>
  <c r="AE20" i="26"/>
  <c r="G20" i="26"/>
  <c r="H20" i="26" s="1"/>
  <c r="C20" i="26"/>
  <c r="AH19" i="26"/>
  <c r="AG19" i="26"/>
  <c r="AF19" i="26"/>
  <c r="AE19" i="26"/>
  <c r="G19" i="26"/>
  <c r="H19" i="26" s="1"/>
  <c r="C19" i="26"/>
  <c r="AH18" i="26"/>
  <c r="AG18" i="26"/>
  <c r="AF18" i="26"/>
  <c r="AE18" i="26"/>
  <c r="G18" i="26"/>
  <c r="AM18" i="26" s="1"/>
  <c r="C18" i="26"/>
  <c r="AH17" i="26"/>
  <c r="AG17" i="26"/>
  <c r="AF17" i="26"/>
  <c r="AE17" i="26"/>
  <c r="G17" i="26"/>
  <c r="H17" i="26" s="1"/>
  <c r="C17" i="26"/>
  <c r="AH16" i="26"/>
  <c r="AG16" i="26"/>
  <c r="AF16" i="26"/>
  <c r="AE16" i="26"/>
  <c r="G16" i="26"/>
  <c r="AM16" i="26" s="1"/>
  <c r="C16" i="26"/>
  <c r="AH15" i="26"/>
  <c r="AG15" i="26"/>
  <c r="AF15" i="26"/>
  <c r="AE15" i="26"/>
  <c r="G15" i="26"/>
  <c r="H15" i="26" s="1"/>
  <c r="C15" i="26"/>
  <c r="AH14" i="26"/>
  <c r="AG14" i="26"/>
  <c r="AF14" i="26"/>
  <c r="AE14" i="26"/>
  <c r="G14" i="26"/>
  <c r="AM14" i="26" s="1"/>
  <c r="C14" i="26"/>
  <c r="AH13" i="26"/>
  <c r="AG13" i="26"/>
  <c r="AF13" i="26"/>
  <c r="AE13" i="26"/>
  <c r="G13" i="26"/>
  <c r="AM13" i="26" s="1"/>
  <c r="C13" i="26"/>
  <c r="AH12" i="26"/>
  <c r="AG12" i="26"/>
  <c r="AF12" i="26"/>
  <c r="AE12" i="26"/>
  <c r="G12" i="26"/>
  <c r="AM12" i="26" s="1"/>
  <c r="C12" i="26"/>
  <c r="AH11" i="26"/>
  <c r="AG11" i="26"/>
  <c r="AF11" i="26"/>
  <c r="AE11" i="26"/>
  <c r="G11" i="26"/>
  <c r="AM11" i="26" s="1"/>
  <c r="C11" i="26"/>
  <c r="AH10" i="26"/>
  <c r="AG10" i="26"/>
  <c r="AF10" i="26"/>
  <c r="AE10" i="26"/>
  <c r="G10" i="26"/>
  <c r="H10" i="26" s="1"/>
  <c r="C10" i="26"/>
  <c r="AH9" i="26"/>
  <c r="AG9" i="26"/>
  <c r="AF9" i="26"/>
  <c r="AE9" i="26"/>
  <c r="G9" i="26"/>
  <c r="AM9" i="26" s="1"/>
  <c r="C9" i="26"/>
  <c r="AH8" i="26"/>
  <c r="AG8" i="26"/>
  <c r="AF8" i="26"/>
  <c r="AE8" i="26"/>
  <c r="G8" i="26"/>
  <c r="H8" i="26" s="1"/>
  <c r="C8" i="26"/>
  <c r="AH7" i="26"/>
  <c r="AG7" i="26"/>
  <c r="AF7" i="26"/>
  <c r="AE7" i="26"/>
  <c r="G7" i="26"/>
  <c r="H7" i="26" s="1"/>
  <c r="C7" i="26"/>
  <c r="AH6" i="26"/>
  <c r="AG6" i="26"/>
  <c r="AF6" i="26"/>
  <c r="AE6" i="26"/>
  <c r="G6" i="26"/>
  <c r="AM6" i="26" s="1"/>
  <c r="C6" i="26"/>
  <c r="AH5" i="26"/>
  <c r="AG5" i="26"/>
  <c r="AF5" i="26"/>
  <c r="AE5" i="26"/>
  <c r="G5" i="26"/>
  <c r="AM5" i="26" s="1"/>
  <c r="D5" i="26"/>
  <c r="C5" i="26"/>
  <c r="AH4" i="26"/>
  <c r="AG4" i="26"/>
  <c r="AF4" i="26"/>
  <c r="AE4" i="26"/>
  <c r="G4" i="26"/>
  <c r="AM4" i="26" s="1"/>
  <c r="D4" i="26"/>
  <c r="C4" i="26"/>
  <c r="AH3" i="26"/>
  <c r="AG3" i="26"/>
  <c r="AF3" i="26"/>
  <c r="AE3" i="26"/>
  <c r="G3" i="26"/>
  <c r="H3" i="26" s="1"/>
  <c r="D3" i="26"/>
  <c r="C3" i="26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A58" i="26" s="1"/>
  <c r="A59" i="26" s="1"/>
  <c r="A60" i="26" s="1"/>
  <c r="A61" i="26" s="1"/>
  <c r="A62" i="26" s="1"/>
  <c r="A63" i="26" s="1"/>
  <c r="A64" i="26" s="1"/>
  <c r="A65" i="26" s="1"/>
  <c r="A66" i="26" s="1"/>
  <c r="A67" i="26" s="1"/>
  <c r="A68" i="26" s="1"/>
  <c r="A69" i="26" s="1"/>
  <c r="A70" i="26" s="1"/>
  <c r="A71" i="26" s="1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27" i="26" s="1"/>
  <c r="A128" i="26" s="1"/>
  <c r="A129" i="26" s="1"/>
  <c r="A130" i="26" s="1"/>
  <c r="A131" i="26" s="1"/>
  <c r="A132" i="26" s="1"/>
  <c r="A133" i="26" s="1"/>
  <c r="A134" i="26" s="1"/>
  <c r="A135" i="26" s="1"/>
  <c r="A136" i="26" s="1"/>
  <c r="A137" i="26" s="1"/>
  <c r="A138" i="26" s="1"/>
  <c r="A139" i="26" s="1"/>
  <c r="A140" i="26" s="1"/>
  <c r="A141" i="26" s="1"/>
  <c r="A142" i="26" s="1"/>
  <c r="A143" i="26" s="1"/>
  <c r="A144" i="26" s="1"/>
  <c r="A145" i="26" s="1"/>
  <c r="A146" i="26" s="1"/>
  <c r="A147" i="26" s="1"/>
  <c r="A148" i="26" s="1"/>
  <c r="A149" i="26" s="1"/>
  <c r="A150" i="26" s="1"/>
  <c r="A151" i="26" s="1"/>
  <c r="A152" i="26" s="1"/>
  <c r="A153" i="26" s="1"/>
  <c r="A154" i="26" s="1"/>
  <c r="A155" i="26" s="1"/>
  <c r="A156" i="26" s="1"/>
  <c r="A157" i="26" s="1"/>
  <c r="A158" i="26" s="1"/>
  <c r="A159" i="26" s="1"/>
  <c r="A160" i="26" s="1"/>
  <c r="A161" i="26" s="1"/>
  <c r="A162" i="26" s="1"/>
  <c r="A163" i="26" s="1"/>
  <c r="A164" i="26" s="1"/>
  <c r="A165" i="26" s="1"/>
  <c r="A166" i="26" s="1"/>
  <c r="A167" i="26" s="1"/>
  <c r="A168" i="26" s="1"/>
  <c r="A169" i="26" s="1"/>
  <c r="A170" i="26" s="1"/>
  <c r="A171" i="26" s="1"/>
  <c r="A172" i="26" s="1"/>
  <c r="A173" i="26" s="1"/>
  <c r="A174" i="26" s="1"/>
  <c r="A175" i="26" s="1"/>
  <c r="A176" i="26" s="1"/>
  <c r="A177" i="26" s="1"/>
  <c r="A178" i="26" s="1"/>
  <c r="A179" i="26" s="1"/>
  <c r="A180" i="26" s="1"/>
  <c r="A181" i="26" s="1"/>
  <c r="A182" i="26" s="1"/>
  <c r="A183" i="26" s="1"/>
  <c r="A184" i="26" s="1"/>
  <c r="A185" i="26" s="1"/>
  <c r="A186" i="26" s="1"/>
  <c r="A187" i="26" s="1"/>
  <c r="A188" i="26" s="1"/>
  <c r="A189" i="26" s="1"/>
  <c r="A190" i="26" s="1"/>
  <c r="A191" i="26" s="1"/>
  <c r="A192" i="26" s="1"/>
  <c r="A193" i="26" s="1"/>
  <c r="A194" i="26" s="1"/>
  <c r="A195" i="26" s="1"/>
  <c r="A196" i="26" s="1"/>
  <c r="A197" i="26" s="1"/>
  <c r="A198" i="26" s="1"/>
  <c r="A199" i="26" s="1"/>
  <c r="A200" i="26" s="1"/>
  <c r="A201" i="26" s="1"/>
  <c r="A202" i="26" s="1"/>
  <c r="A203" i="26" s="1"/>
  <c r="A204" i="26" s="1"/>
  <c r="A205" i="26" s="1"/>
  <c r="A206" i="26" s="1"/>
  <c r="A207" i="26" s="1"/>
  <c r="A208" i="26" s="1"/>
  <c r="A209" i="26" s="1"/>
  <c r="A210" i="26" s="1"/>
  <c r="A211" i="26" s="1"/>
  <c r="A212" i="26" s="1"/>
  <c r="AH2" i="26"/>
  <c r="AG2" i="26"/>
  <c r="AF2" i="26"/>
  <c r="AE2" i="26"/>
  <c r="G2" i="26"/>
  <c r="AM2" i="26" s="1"/>
  <c r="D2" i="26"/>
  <c r="C2" i="26"/>
  <c r="F49" i="7" l="1"/>
  <c r="G49" i="7" s="1"/>
  <c r="A49" i="7"/>
  <c r="H50" i="7"/>
  <c r="C49" i="7"/>
  <c r="AM65" i="26"/>
  <c r="AM33" i="26"/>
  <c r="AM224" i="26"/>
  <c r="AM192" i="26"/>
  <c r="AM160" i="26"/>
  <c r="AM128" i="26"/>
  <c r="AM96" i="26"/>
  <c r="AM64" i="26"/>
  <c r="AM32" i="26"/>
  <c r="AM185" i="26"/>
  <c r="AM153" i="26"/>
  <c r="AM121" i="26"/>
  <c r="AM57" i="26"/>
  <c r="AM216" i="26"/>
  <c r="AM88" i="26"/>
  <c r="AM56" i="26"/>
  <c r="AM209" i="26"/>
  <c r="AM145" i="26"/>
  <c r="AM81" i="26"/>
  <c r="AM49" i="26"/>
  <c r="AM17" i="26"/>
  <c r="AM176" i="26"/>
  <c r="AM112" i="26"/>
  <c r="AM80" i="26"/>
  <c r="AM201" i="26"/>
  <c r="AM169" i="26"/>
  <c r="AM105" i="26"/>
  <c r="AM73" i="26"/>
  <c r="AM41" i="26"/>
  <c r="AM203" i="26"/>
  <c r="AM211" i="26"/>
  <c r="AM200" i="26"/>
  <c r="AM168" i="26"/>
  <c r="AM104" i="26"/>
  <c r="AM8" i="26"/>
  <c r="K11" i="26"/>
  <c r="AM207" i="26"/>
  <c r="AM191" i="26"/>
  <c r="AM183" i="26"/>
  <c r="AM167" i="26"/>
  <c r="AM159" i="26"/>
  <c r="AM151" i="26"/>
  <c r="AM143" i="26"/>
  <c r="AM135" i="26"/>
  <c r="AM127" i="26"/>
  <c r="AM111" i="26"/>
  <c r="AM103" i="26"/>
  <c r="AM95" i="26"/>
  <c r="AM87" i="26"/>
  <c r="AM79" i="26"/>
  <c r="AM71" i="26"/>
  <c r="AM55" i="26"/>
  <c r="AM47" i="26"/>
  <c r="AM39" i="26"/>
  <c r="AM31" i="26"/>
  <c r="AM23" i="26"/>
  <c r="AM15" i="26"/>
  <c r="AM7" i="26"/>
  <c r="K12" i="26"/>
  <c r="H85" i="26"/>
  <c r="AM222" i="26"/>
  <c r="AM214" i="26"/>
  <c r="AM206" i="26"/>
  <c r="AM158" i="26"/>
  <c r="AM142" i="26"/>
  <c r="AM134" i="26"/>
  <c r="AM118" i="26"/>
  <c r="AM110" i="26"/>
  <c r="AM102" i="26"/>
  <c r="AM94" i="26"/>
  <c r="AM70" i="26"/>
  <c r="AM46" i="26"/>
  <c r="AM22" i="26"/>
  <c r="AM205" i="26"/>
  <c r="AM197" i="26"/>
  <c r="AM189" i="26"/>
  <c r="AM181" i="26"/>
  <c r="AM173" i="26"/>
  <c r="AM165" i="26"/>
  <c r="AM157" i="26"/>
  <c r="AM149" i="26"/>
  <c r="AM141" i="26"/>
  <c r="AM133" i="26"/>
  <c r="AM125" i="26"/>
  <c r="AM117" i="26"/>
  <c r="AM109" i="26"/>
  <c r="AM101" i="26"/>
  <c r="AM77" i="26"/>
  <c r="AM69" i="26"/>
  <c r="AM61" i="26"/>
  <c r="AM53" i="26"/>
  <c r="AM45" i="26"/>
  <c r="AM29" i="26"/>
  <c r="AM21" i="26"/>
  <c r="AM220" i="26"/>
  <c r="AM212" i="26"/>
  <c r="AM204" i="26"/>
  <c r="AM196" i="26"/>
  <c r="AM188" i="26"/>
  <c r="AM180" i="26"/>
  <c r="AM172" i="26"/>
  <c r="AM164" i="26"/>
  <c r="AM156" i="26"/>
  <c r="AM140" i="26"/>
  <c r="AM132" i="26"/>
  <c r="AM124" i="26"/>
  <c r="AM100" i="26"/>
  <c r="AM92" i="26"/>
  <c r="AM76" i="26"/>
  <c r="AM68" i="26"/>
  <c r="AM52" i="26"/>
  <c r="AM44" i="26"/>
  <c r="AM20" i="26"/>
  <c r="AM219" i="26"/>
  <c r="AM195" i="26"/>
  <c r="AM187" i="26"/>
  <c r="AM179" i="26"/>
  <c r="AM171" i="26"/>
  <c r="AM163" i="26"/>
  <c r="AM155" i="26"/>
  <c r="AM147" i="26"/>
  <c r="AM139" i="26"/>
  <c r="AM131" i="26"/>
  <c r="AM123" i="26"/>
  <c r="AM83" i="26"/>
  <c r="AM67" i="26"/>
  <c r="AM59" i="26"/>
  <c r="AM43" i="26"/>
  <c r="AM35" i="26"/>
  <c r="AM27" i="26"/>
  <c r="AM19" i="26"/>
  <c r="AM3" i="26"/>
  <c r="AM218" i="26"/>
  <c r="AM202" i="26"/>
  <c r="AM194" i="26"/>
  <c r="AM178" i="26"/>
  <c r="AM170" i="26"/>
  <c r="AM154" i="26"/>
  <c r="AM146" i="26"/>
  <c r="AM130" i="26"/>
  <c r="AM122" i="26"/>
  <c r="AM114" i="26"/>
  <c r="AM98" i="26"/>
  <c r="AM90" i="26"/>
  <c r="AM82" i="26"/>
  <c r="AM58" i="26"/>
  <c r="AM34" i="26"/>
  <c r="AM10" i="26"/>
  <c r="K5" i="26"/>
  <c r="AI130" i="1"/>
  <c r="K14" i="26"/>
  <c r="K2" i="26"/>
  <c r="K13" i="26"/>
  <c r="H11" i="26"/>
  <c r="K9" i="26"/>
  <c r="K4" i="26"/>
  <c r="H25" i="26"/>
  <c r="H144" i="26"/>
  <c r="H211" i="26"/>
  <c r="H9" i="26"/>
  <c r="H93" i="26"/>
  <c r="H86" i="26"/>
  <c r="K15" i="26"/>
  <c r="K10" i="26"/>
  <c r="K8" i="26"/>
  <c r="K7" i="26"/>
  <c r="H137" i="26"/>
  <c r="K6" i="26"/>
  <c r="K3" i="26"/>
  <c r="H37" i="26"/>
  <c r="H13" i="26"/>
  <c r="K16" i="26"/>
  <c r="H5" i="26"/>
  <c r="H108" i="26"/>
  <c r="H217" i="26"/>
  <c r="H6" i="26"/>
  <c r="H106" i="26"/>
  <c r="H16" i="26"/>
  <c r="H2" i="26"/>
  <c r="H12" i="26"/>
  <c r="H18" i="26"/>
  <c r="H28" i="26"/>
  <c r="H54" i="26"/>
  <c r="H30" i="26"/>
  <c r="H40" i="26"/>
  <c r="H42" i="26"/>
  <c r="H120" i="26"/>
  <c r="H78" i="26"/>
  <c r="H4" i="26"/>
  <c r="H66" i="26"/>
  <c r="H152" i="26"/>
  <c r="H51" i="26"/>
  <c r="H63" i="26"/>
  <c r="H75" i="26"/>
  <c r="H89" i="26"/>
  <c r="H91" i="26"/>
  <c r="H113" i="26"/>
  <c r="H116" i="26"/>
  <c r="H148" i="26"/>
  <c r="H126" i="26"/>
  <c r="H198" i="26"/>
  <c r="H24" i="26"/>
  <c r="H36" i="26"/>
  <c r="H48" i="26"/>
  <c r="H60" i="26"/>
  <c r="H72" i="26"/>
  <c r="H84" i="26"/>
  <c r="H99" i="26"/>
  <c r="H107" i="26"/>
  <c r="H119" i="26"/>
  <c r="H136" i="26"/>
  <c r="H14" i="26"/>
  <c r="H26" i="26"/>
  <c r="H38" i="26"/>
  <c r="H50" i="26"/>
  <c r="H62" i="26"/>
  <c r="H74" i="26"/>
  <c r="H190" i="26"/>
  <c r="H115" i="26"/>
  <c r="H166" i="26"/>
  <c r="H203" i="26"/>
  <c r="H208" i="26"/>
  <c r="H174" i="26"/>
  <c r="H186" i="26"/>
  <c r="H215" i="26"/>
  <c r="H223" i="26"/>
  <c r="H138" i="26"/>
  <c r="H150" i="26"/>
  <c r="H162" i="26"/>
  <c r="H199" i="26"/>
  <c r="H210" i="26"/>
  <c r="H175" i="26"/>
  <c r="H177" i="26"/>
  <c r="H182" i="26"/>
  <c r="H213" i="26"/>
  <c r="H221" i="26"/>
  <c r="H184" i="26"/>
  <c r="F50" i="7" l="1"/>
  <c r="G50" i="7" s="1"/>
  <c r="A50" i="7"/>
  <c r="H51" i="7"/>
  <c r="C50" i="7"/>
  <c r="AK193" i="26"/>
  <c r="AK145" i="26"/>
  <c r="AK186" i="26"/>
  <c r="AK6" i="26"/>
  <c r="AK189" i="26"/>
  <c r="AK15" i="26"/>
  <c r="AK199" i="26"/>
  <c r="AK128" i="26"/>
  <c r="AK141" i="26"/>
  <c r="AK4" i="26"/>
  <c r="AK194" i="26"/>
  <c r="AK190" i="26"/>
  <c r="AK191" i="26"/>
  <c r="AK7" i="26"/>
  <c r="AK19" i="26"/>
  <c r="AK212" i="26"/>
  <c r="AK18" i="26"/>
  <c r="AK146" i="26"/>
  <c r="AK88" i="26"/>
  <c r="F51" i="7" l="1"/>
  <c r="G51" i="7" s="1"/>
  <c r="H52" i="7"/>
  <c r="A51" i="7"/>
  <c r="C51" i="7"/>
  <c r="AK213" i="26"/>
  <c r="AK208" i="26"/>
  <c r="AK179" i="26"/>
  <c r="AK224" i="26"/>
  <c r="AK207" i="26"/>
  <c r="AK180" i="26"/>
  <c r="AK198" i="26"/>
  <c r="AK94" i="26"/>
  <c r="AK93" i="26"/>
  <c r="AK66" i="26"/>
  <c r="AK67" i="26"/>
  <c r="AK78" i="26"/>
  <c r="AK79" i="26"/>
  <c r="AK157" i="26"/>
  <c r="AK60" i="26"/>
  <c r="AK13" i="26"/>
  <c r="AK11" i="26"/>
  <c r="AK10" i="26"/>
  <c r="AK17" i="26"/>
  <c r="AK159" i="26"/>
  <c r="AK158" i="26"/>
  <c r="AK172" i="26"/>
  <c r="AK102" i="26"/>
  <c r="AK100" i="26"/>
  <c r="AK34" i="26"/>
  <c r="AK115" i="26"/>
  <c r="AK96" i="26"/>
  <c r="AK35" i="26"/>
  <c r="AK106" i="26"/>
  <c r="AK33" i="26"/>
  <c r="AK12" i="26"/>
  <c r="AK36" i="26"/>
  <c r="AK26" i="26"/>
  <c r="AK8" i="26"/>
  <c r="AK144" i="26"/>
  <c r="AK21" i="26"/>
  <c r="AK197" i="26"/>
  <c r="AK38" i="26"/>
  <c r="AK43" i="26"/>
  <c r="AK135" i="26"/>
  <c r="AK215" i="26"/>
  <c r="AK160" i="26"/>
  <c r="AK122" i="26"/>
  <c r="AK75" i="26"/>
  <c r="AK51" i="26"/>
  <c r="AK63" i="26"/>
  <c r="AK65" i="26"/>
  <c r="AK76" i="26"/>
  <c r="AK162" i="26"/>
  <c r="AK202" i="26"/>
  <c r="AK203" i="26"/>
  <c r="AK50" i="26"/>
  <c r="AK52" i="26"/>
  <c r="AK112" i="26"/>
  <c r="AK61" i="26"/>
  <c r="AK59" i="26"/>
  <c r="AK46" i="26"/>
  <c r="AK70" i="26"/>
  <c r="AK71" i="26"/>
  <c r="AK80" i="26"/>
  <c r="AK49" i="26"/>
  <c r="AK73" i="26"/>
  <c r="AK74" i="26"/>
  <c r="AK62" i="26"/>
  <c r="AK72" i="26"/>
  <c r="AK64" i="26"/>
  <c r="AK77" i="26"/>
  <c r="AK47" i="26"/>
  <c r="AK48" i="26"/>
  <c r="AK204" i="26"/>
  <c r="AK216" i="26"/>
  <c r="AK69" i="26"/>
  <c r="AK148" i="26"/>
  <c r="AK121" i="26"/>
  <c r="AK89" i="26"/>
  <c r="AK37" i="26"/>
  <c r="AK9" i="26"/>
  <c r="AK68" i="26"/>
  <c r="AK27" i="26"/>
  <c r="AK130" i="26"/>
  <c r="AK136" i="26"/>
  <c r="AK181" i="26"/>
  <c r="AK82" i="26"/>
  <c r="AK116" i="26"/>
  <c r="AK81" i="26"/>
  <c r="AK156" i="26"/>
  <c r="AK39" i="26"/>
  <c r="AK178" i="26"/>
  <c r="AK177" i="26"/>
  <c r="AK143" i="26"/>
  <c r="AK25" i="26"/>
  <c r="AK42" i="26"/>
  <c r="AK171" i="26"/>
  <c r="AK16" i="26"/>
  <c r="AK223" i="26"/>
  <c r="AK175" i="26"/>
  <c r="AK184" i="26"/>
  <c r="AK218" i="26"/>
  <c r="AK165" i="26"/>
  <c r="AK164" i="26"/>
  <c r="AK163" i="26"/>
  <c r="AK2" i="26"/>
  <c r="AK153" i="26"/>
  <c r="AK91" i="26"/>
  <c r="AK3" i="26"/>
  <c r="AK110" i="26"/>
  <c r="AK55" i="26"/>
  <c r="AK56" i="26"/>
  <c r="AK98" i="26"/>
  <c r="AK109" i="26"/>
  <c r="AK41" i="26"/>
  <c r="AK92" i="26"/>
  <c r="AK210" i="26"/>
  <c r="AK29" i="26"/>
  <c r="AK173" i="26"/>
  <c r="AK114" i="26"/>
  <c r="AK57" i="26"/>
  <c r="AK99" i="26"/>
  <c r="AK44" i="26"/>
  <c r="AK154" i="26"/>
  <c r="AK155" i="26"/>
  <c r="AK174" i="26"/>
  <c r="AK219" i="26"/>
  <c r="AK103" i="26"/>
  <c r="AK30" i="26"/>
  <c r="AK22" i="26"/>
  <c r="AK205" i="26"/>
  <c r="AK113" i="26"/>
  <c r="AK149" i="26"/>
  <c r="AK185" i="26"/>
  <c r="AK28" i="26"/>
  <c r="AK104" i="26"/>
  <c r="AK31" i="26"/>
  <c r="AK32" i="26"/>
  <c r="AK222" i="26"/>
  <c r="AK166" i="26"/>
  <c r="AK220" i="26"/>
  <c r="AK206" i="26"/>
  <c r="AK105" i="26"/>
  <c r="AK101" i="26"/>
  <c r="AK45" i="26"/>
  <c r="AK167" i="26"/>
  <c r="AK151" i="26"/>
  <c r="AK40" i="26"/>
  <c r="AK97" i="26"/>
  <c r="AK58" i="26"/>
  <c r="AK217" i="26"/>
  <c r="AK221" i="26"/>
  <c r="AK211" i="26"/>
  <c r="AK150" i="26"/>
  <c r="AK108" i="26"/>
  <c r="AK107" i="26"/>
  <c r="AK152" i="26"/>
  <c r="AK131" i="26"/>
  <c r="AK129" i="26"/>
  <c r="AK23" i="26"/>
  <c r="AK176" i="26"/>
  <c r="AK161" i="26"/>
  <c r="AK183" i="26"/>
  <c r="AK86" i="26"/>
  <c r="AK137" i="26"/>
  <c r="AK127" i="26"/>
  <c r="AK24" i="26"/>
  <c r="AK126" i="26"/>
  <c r="AK87" i="26"/>
  <c r="AK142" i="26"/>
  <c r="AK54" i="26"/>
  <c r="AK119" i="26"/>
  <c r="AK5" i="26"/>
  <c r="AK170" i="26"/>
  <c r="AK169" i="26"/>
  <c r="AK196" i="26"/>
  <c r="AK192" i="26"/>
  <c r="AK182" i="26"/>
  <c r="AK53" i="26"/>
  <c r="AK85" i="26"/>
  <c r="AK14" i="26"/>
  <c r="AK125" i="26"/>
  <c r="AK140" i="26"/>
  <c r="AK138" i="26"/>
  <c r="AK20" i="26"/>
  <c r="AK124" i="26"/>
  <c r="AK209" i="26"/>
  <c r="AK200" i="26"/>
  <c r="AK123" i="26"/>
  <c r="AK139" i="26"/>
  <c r="AK134" i="26"/>
  <c r="AK132" i="26"/>
  <c r="AK201" i="26"/>
  <c r="AK188" i="26"/>
  <c r="AK214" i="26"/>
  <c r="AK111" i="26"/>
  <c r="AK84" i="26"/>
  <c r="AK95" i="26"/>
  <c r="AK133" i="26"/>
  <c r="AK118" i="26"/>
  <c r="AK187" i="26"/>
  <c r="AK168" i="26"/>
  <c r="AK120" i="26"/>
  <c r="AK90" i="26"/>
  <c r="AK147" i="26"/>
  <c r="AK117" i="26"/>
  <c r="AK83" i="26"/>
  <c r="AK195" i="26"/>
  <c r="H53" i="7" l="1"/>
  <c r="A52" i="7"/>
  <c r="F52" i="7"/>
  <c r="G52" i="7" s="1"/>
  <c r="C52" i="7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AE2" i="25"/>
  <c r="AE3" i="25"/>
  <c r="AE4" i="25"/>
  <c r="AE5" i="25"/>
  <c r="AE6" i="25"/>
  <c r="AE7" i="25"/>
  <c r="AE8" i="25"/>
  <c r="AE9" i="25"/>
  <c r="AE10" i="25"/>
  <c r="AE11" i="25"/>
  <c r="AE12" i="25"/>
  <c r="AE13" i="25"/>
  <c r="AE14" i="25"/>
  <c r="AE15" i="25"/>
  <c r="AE16" i="25"/>
  <c r="AE17" i="25"/>
  <c r="AE18" i="25"/>
  <c r="AE19" i="25"/>
  <c r="AE20" i="25"/>
  <c r="AE21" i="25"/>
  <c r="AE22" i="25"/>
  <c r="AE23" i="25"/>
  <c r="AE24" i="25"/>
  <c r="AE25" i="25"/>
  <c r="AE26" i="25"/>
  <c r="AE27" i="25"/>
  <c r="AE28" i="25"/>
  <c r="AE29" i="25"/>
  <c r="AE30" i="25"/>
  <c r="AE31" i="25"/>
  <c r="AE32" i="25"/>
  <c r="AE33" i="25"/>
  <c r="AE34" i="25"/>
  <c r="AE35" i="25"/>
  <c r="AE36" i="25"/>
  <c r="AE37" i="25"/>
  <c r="AE38" i="25"/>
  <c r="AE39" i="25"/>
  <c r="AE40" i="25"/>
  <c r="AE41" i="25"/>
  <c r="AE42" i="25"/>
  <c r="AE43" i="25"/>
  <c r="AE44" i="25"/>
  <c r="AE45" i="25"/>
  <c r="AE46" i="25"/>
  <c r="AE47" i="25"/>
  <c r="AE48" i="25"/>
  <c r="AE49" i="25"/>
  <c r="AE50" i="25"/>
  <c r="AE51" i="25"/>
  <c r="AE52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65" i="25"/>
  <c r="AE66" i="25"/>
  <c r="AE67" i="25"/>
  <c r="AE68" i="25"/>
  <c r="AE69" i="25"/>
  <c r="N2" i="25"/>
  <c r="AC2" i="25" s="1"/>
  <c r="N3" i="25"/>
  <c r="AC3" i="25" s="1"/>
  <c r="N4" i="25"/>
  <c r="AC4" i="25" s="1"/>
  <c r="N5" i="25"/>
  <c r="AC5" i="25" s="1"/>
  <c r="N6" i="25"/>
  <c r="AC6" i="25" s="1"/>
  <c r="N7" i="25"/>
  <c r="AC7" i="25" s="1"/>
  <c r="N8" i="25"/>
  <c r="AC8" i="25" s="1"/>
  <c r="N9" i="25"/>
  <c r="AC9" i="25" s="1"/>
  <c r="N10" i="25"/>
  <c r="AC10" i="25" s="1"/>
  <c r="N11" i="25"/>
  <c r="AC11" i="25" s="1"/>
  <c r="N12" i="25"/>
  <c r="AC12" i="25" s="1"/>
  <c r="N13" i="25"/>
  <c r="AC13" i="25" s="1"/>
  <c r="N14" i="25"/>
  <c r="AC14" i="25" s="1"/>
  <c r="N15" i="25"/>
  <c r="AC15" i="25" s="1"/>
  <c r="N16" i="25"/>
  <c r="AC16" i="25" s="1"/>
  <c r="N17" i="25"/>
  <c r="AC17" i="25" s="1"/>
  <c r="N18" i="25"/>
  <c r="AC18" i="25" s="1"/>
  <c r="N19" i="25"/>
  <c r="AC19" i="25" s="1"/>
  <c r="N20" i="25"/>
  <c r="AC20" i="25" s="1"/>
  <c r="N21" i="25"/>
  <c r="AC21" i="25" s="1"/>
  <c r="N22" i="25"/>
  <c r="AC22" i="25" s="1"/>
  <c r="N23" i="25"/>
  <c r="AC23" i="25" s="1"/>
  <c r="N24" i="25"/>
  <c r="AC24" i="25" s="1"/>
  <c r="N25" i="25"/>
  <c r="AC25" i="25" s="1"/>
  <c r="N26" i="25"/>
  <c r="AC26" i="25" s="1"/>
  <c r="N27" i="25"/>
  <c r="AC27" i="25" s="1"/>
  <c r="N28" i="25"/>
  <c r="AC28" i="25" s="1"/>
  <c r="N29" i="25"/>
  <c r="AC29" i="25" s="1"/>
  <c r="N30" i="25"/>
  <c r="AC30" i="25" s="1"/>
  <c r="N31" i="25"/>
  <c r="AC31" i="25" s="1"/>
  <c r="N32" i="25"/>
  <c r="AC32" i="25" s="1"/>
  <c r="N33" i="25"/>
  <c r="AC33" i="25" s="1"/>
  <c r="N34" i="25"/>
  <c r="AC34" i="25" s="1"/>
  <c r="N35" i="25"/>
  <c r="AC35" i="25" s="1"/>
  <c r="N36" i="25"/>
  <c r="AC36" i="25" s="1"/>
  <c r="N37" i="25"/>
  <c r="AC37" i="25" s="1"/>
  <c r="N38" i="25"/>
  <c r="AC38" i="25" s="1"/>
  <c r="N39" i="25"/>
  <c r="AC39" i="25" s="1"/>
  <c r="N40" i="25"/>
  <c r="AC40" i="25" s="1"/>
  <c r="N41" i="25"/>
  <c r="AC41" i="25" s="1"/>
  <c r="N42" i="25"/>
  <c r="AC42" i="25" s="1"/>
  <c r="N43" i="25"/>
  <c r="AC43" i="25" s="1"/>
  <c r="N44" i="25"/>
  <c r="AC44" i="25" s="1"/>
  <c r="N45" i="25"/>
  <c r="AC45" i="25" s="1"/>
  <c r="N46" i="25"/>
  <c r="AC46" i="25" s="1"/>
  <c r="N47" i="25"/>
  <c r="AC47" i="25" s="1"/>
  <c r="N48" i="25"/>
  <c r="AC48" i="25" s="1"/>
  <c r="N49" i="25"/>
  <c r="AC49" i="25" s="1"/>
  <c r="N50" i="25"/>
  <c r="AC50" i="25" s="1"/>
  <c r="N51" i="25"/>
  <c r="AC51" i="25" s="1"/>
  <c r="N52" i="25"/>
  <c r="AC52" i="25" s="1"/>
  <c r="N53" i="25"/>
  <c r="AC53" i="25" s="1"/>
  <c r="N54" i="25"/>
  <c r="AC54" i="25" s="1"/>
  <c r="N55" i="25"/>
  <c r="AC55" i="25" s="1"/>
  <c r="N56" i="25"/>
  <c r="AC56" i="25" s="1"/>
  <c r="N57" i="25"/>
  <c r="AC57" i="25" s="1"/>
  <c r="N58" i="25"/>
  <c r="AC58" i="25" s="1"/>
  <c r="N59" i="25"/>
  <c r="AC59" i="25" s="1"/>
  <c r="N60" i="25"/>
  <c r="AC60" i="25" s="1"/>
  <c r="N61" i="25"/>
  <c r="AC61" i="25" s="1"/>
  <c r="N62" i="25"/>
  <c r="AC62" i="25" s="1"/>
  <c r="N63" i="25"/>
  <c r="AC63" i="25" s="1"/>
  <c r="N64" i="25"/>
  <c r="AC64" i="25" s="1"/>
  <c r="N65" i="25"/>
  <c r="AC65" i="25" s="1"/>
  <c r="N66" i="25"/>
  <c r="AC66" i="25" s="1"/>
  <c r="N67" i="25"/>
  <c r="AC67" i="25" s="1"/>
  <c r="N68" i="25"/>
  <c r="AC68" i="25" s="1"/>
  <c r="N69" i="25"/>
  <c r="AC69" i="25" s="1"/>
  <c r="Z69" i="25"/>
  <c r="D69" i="25"/>
  <c r="Z68" i="25"/>
  <c r="D68" i="25"/>
  <c r="Z67" i="25"/>
  <c r="D67" i="25"/>
  <c r="Z66" i="25"/>
  <c r="D66" i="25"/>
  <c r="Z65" i="25"/>
  <c r="D65" i="25"/>
  <c r="Z64" i="25"/>
  <c r="H64" i="25"/>
  <c r="D64" i="25"/>
  <c r="Z63" i="25"/>
  <c r="H63" i="25"/>
  <c r="D63" i="25"/>
  <c r="Z62" i="25"/>
  <c r="H62" i="25"/>
  <c r="D62" i="25"/>
  <c r="Z61" i="25"/>
  <c r="D61" i="25"/>
  <c r="Z60" i="25"/>
  <c r="D60" i="25"/>
  <c r="Z59" i="25"/>
  <c r="D59" i="25"/>
  <c r="Z58" i="25"/>
  <c r="D58" i="25"/>
  <c r="Z57" i="25"/>
  <c r="D57" i="25"/>
  <c r="Z56" i="25"/>
  <c r="D56" i="25"/>
  <c r="Z55" i="25"/>
  <c r="D55" i="25"/>
  <c r="Z54" i="25"/>
  <c r="D54" i="25"/>
  <c r="Z53" i="25"/>
  <c r="D53" i="25"/>
  <c r="Z52" i="25"/>
  <c r="D52" i="25"/>
  <c r="Z51" i="25"/>
  <c r="D51" i="25"/>
  <c r="Z50" i="25"/>
  <c r="H50" i="25"/>
  <c r="D50" i="25"/>
  <c r="Z49" i="25"/>
  <c r="H49" i="25"/>
  <c r="D49" i="25"/>
  <c r="Z48" i="25"/>
  <c r="D48" i="25"/>
  <c r="Z47" i="25"/>
  <c r="H47" i="25"/>
  <c r="D47" i="25"/>
  <c r="Z46" i="25"/>
  <c r="H46" i="25"/>
  <c r="D46" i="25"/>
  <c r="Z45" i="25"/>
  <c r="H45" i="25"/>
  <c r="D45" i="25"/>
  <c r="Z44" i="25"/>
  <c r="D44" i="25"/>
  <c r="Z43" i="25"/>
  <c r="D43" i="25"/>
  <c r="Z42" i="25"/>
  <c r="H42" i="25"/>
  <c r="D42" i="25"/>
  <c r="Z41" i="25"/>
  <c r="D41" i="25"/>
  <c r="Z40" i="25"/>
  <c r="D40" i="25"/>
  <c r="Z39" i="25"/>
  <c r="D39" i="25"/>
  <c r="Z38" i="25"/>
  <c r="D38" i="25"/>
  <c r="Z37" i="25"/>
  <c r="H37" i="25"/>
  <c r="D37" i="25"/>
  <c r="Z36" i="25"/>
  <c r="H36" i="25"/>
  <c r="D36" i="25"/>
  <c r="Z35" i="25"/>
  <c r="H35" i="25"/>
  <c r="D35" i="25"/>
  <c r="Z34" i="25"/>
  <c r="H34" i="25"/>
  <c r="D34" i="25"/>
  <c r="Z33" i="25"/>
  <c r="H33" i="25"/>
  <c r="D33" i="25"/>
  <c r="Z32" i="25"/>
  <c r="H32" i="25"/>
  <c r="D32" i="25"/>
  <c r="Z31" i="25"/>
  <c r="H31" i="25"/>
  <c r="D31" i="25"/>
  <c r="Z30" i="25"/>
  <c r="H30" i="25"/>
  <c r="D30" i="25"/>
  <c r="Z29" i="25"/>
  <c r="D29" i="25"/>
  <c r="Z28" i="25"/>
  <c r="D28" i="25"/>
  <c r="Z27" i="25"/>
  <c r="D27" i="25"/>
  <c r="Z26" i="25"/>
  <c r="D26" i="25"/>
  <c r="Z25" i="25"/>
  <c r="H25" i="25"/>
  <c r="D25" i="25"/>
  <c r="Z24" i="25"/>
  <c r="H24" i="25"/>
  <c r="D24" i="25"/>
  <c r="Z23" i="25"/>
  <c r="D23" i="25"/>
  <c r="Z22" i="25"/>
  <c r="H22" i="25"/>
  <c r="D22" i="25"/>
  <c r="Z21" i="25"/>
  <c r="H21" i="25"/>
  <c r="D21" i="25"/>
  <c r="Z20" i="25"/>
  <c r="D20" i="25"/>
  <c r="Z19" i="25"/>
  <c r="H19" i="25"/>
  <c r="D19" i="25"/>
  <c r="Z18" i="25"/>
  <c r="H18" i="25"/>
  <c r="D18" i="25"/>
  <c r="Z17" i="25"/>
  <c r="D17" i="25"/>
  <c r="Z16" i="25"/>
  <c r="D16" i="25"/>
  <c r="Z15" i="25"/>
  <c r="D15" i="25"/>
  <c r="Z14" i="25"/>
  <c r="D14" i="25"/>
  <c r="Z13" i="25"/>
  <c r="H13" i="25"/>
  <c r="D13" i="25"/>
  <c r="Z12" i="25"/>
  <c r="H12" i="25"/>
  <c r="D12" i="25"/>
  <c r="Z11" i="25"/>
  <c r="H11" i="25"/>
  <c r="D11" i="25"/>
  <c r="Z10" i="25"/>
  <c r="H10" i="25"/>
  <c r="D10" i="25"/>
  <c r="Z9" i="25"/>
  <c r="H9" i="25"/>
  <c r="D9" i="25"/>
  <c r="Z8" i="25"/>
  <c r="H8" i="25"/>
  <c r="D8" i="25"/>
  <c r="Z7" i="25"/>
  <c r="D7" i="25"/>
  <c r="Z6" i="25"/>
  <c r="H6" i="25"/>
  <c r="D6" i="25"/>
  <c r="Z5" i="25"/>
  <c r="D5" i="25"/>
  <c r="Z4" i="25"/>
  <c r="D4" i="25"/>
  <c r="Z3" i="25"/>
  <c r="D3" i="25"/>
  <c r="A3" i="25"/>
  <c r="A4" i="25" s="1"/>
  <c r="A5" i="25" s="1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Z2" i="25"/>
  <c r="D2" i="25"/>
  <c r="H54" i="7" l="1"/>
  <c r="C53" i="7"/>
  <c r="A53" i="7"/>
  <c r="F53" i="7"/>
  <c r="G53" i="7" s="1"/>
  <c r="H43" i="25"/>
  <c r="H20" i="25"/>
  <c r="H58" i="25"/>
  <c r="H2" i="25"/>
  <c r="H39" i="25"/>
  <c r="H44" i="25"/>
  <c r="H51" i="25"/>
  <c r="H55" i="25"/>
  <c r="H57" i="25"/>
  <c r="H69" i="25"/>
  <c r="H7" i="25"/>
  <c r="H38" i="25"/>
  <c r="H23" i="25"/>
  <c r="H48" i="25"/>
  <c r="H27" i="25"/>
  <c r="H53" i="25"/>
  <c r="H14" i="25"/>
  <c r="H26" i="25"/>
  <c r="H52" i="25"/>
  <c r="H56" i="25"/>
  <c r="H15" i="25"/>
  <c r="H68" i="25"/>
  <c r="H3" i="25"/>
  <c r="H54" i="25"/>
  <c r="H28" i="25"/>
  <c r="H40" i="25"/>
  <c r="H59" i="25"/>
  <c r="H60" i="25"/>
  <c r="H61" i="25"/>
  <c r="H67" i="25"/>
  <c r="H4" i="25"/>
  <c r="H5" i="25"/>
  <c r="H17" i="25"/>
  <c r="H29" i="25"/>
  <c r="H41" i="25"/>
  <c r="H66" i="25"/>
  <c r="H65" i="25"/>
  <c r="H16" i="25"/>
  <c r="H55" i="7" l="1"/>
  <c r="F54" i="7"/>
  <c r="G54" i="7" s="1"/>
  <c r="C54" i="7"/>
  <c r="A54" i="7"/>
  <c r="H2" i="23"/>
  <c r="H3" i="23"/>
  <c r="H4" i="23"/>
  <c r="H5" i="23"/>
  <c r="C55" i="7" l="1"/>
  <c r="H56" i="7"/>
  <c r="F55" i="7"/>
  <c r="G55" i="7" s="1"/>
  <c r="A55" i="7"/>
  <c r="AT2" i="21"/>
  <c r="AU2" i="21"/>
  <c r="AU3" i="21"/>
  <c r="AU4" i="21"/>
  <c r="AU5" i="21"/>
  <c r="AU6" i="2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C56" i="7" l="1"/>
  <c r="F56" i="7"/>
  <c r="G56" i="7" s="1"/>
  <c r="H57" i="7"/>
  <c r="A56" i="7"/>
  <c r="AV2" i="21"/>
  <c r="AV3" i="21"/>
  <c r="AV4" i="21"/>
  <c r="AV5" i="21"/>
  <c r="AV6" i="21"/>
  <c r="AV7" i="21"/>
  <c r="AV8" i="21"/>
  <c r="AV9" i="21"/>
  <c r="AV10" i="21"/>
  <c r="AV11" i="21"/>
  <c r="AV12" i="21"/>
  <c r="AV13" i="21"/>
  <c r="AV14" i="21"/>
  <c r="AV15" i="21"/>
  <c r="AV16" i="21"/>
  <c r="AV17" i="21"/>
  <c r="AV18" i="21"/>
  <c r="AV19" i="21"/>
  <c r="AV20" i="21"/>
  <c r="AV21" i="21"/>
  <c r="AV22" i="21"/>
  <c r="AV23" i="21"/>
  <c r="AV24" i="21"/>
  <c r="AV25" i="21"/>
  <c r="AV26" i="21"/>
  <c r="AV27" i="21"/>
  <c r="AV28" i="21"/>
  <c r="AV29" i="21"/>
  <c r="AV30" i="21"/>
  <c r="AV31" i="21"/>
  <c r="AV32" i="21"/>
  <c r="AV33" i="21"/>
  <c r="AV34" i="21"/>
  <c r="AV35" i="21"/>
  <c r="AV36" i="21"/>
  <c r="AV37" i="21"/>
  <c r="AV38" i="21"/>
  <c r="AV39" i="21"/>
  <c r="AV40" i="21"/>
  <c r="AV41" i="21"/>
  <c r="AV42" i="21"/>
  <c r="AV43" i="21"/>
  <c r="AV44" i="21"/>
  <c r="AV45" i="21"/>
  <c r="AV46" i="21"/>
  <c r="AV47" i="21"/>
  <c r="AV48" i="21"/>
  <c r="AV49" i="21"/>
  <c r="AV50" i="21"/>
  <c r="AV51" i="21"/>
  <c r="AV52" i="21"/>
  <c r="AV53" i="21"/>
  <c r="AV54" i="21"/>
  <c r="AV55" i="21"/>
  <c r="AV56" i="21"/>
  <c r="AV57" i="21"/>
  <c r="AV58" i="21"/>
  <c r="AV59" i="21"/>
  <c r="AV60" i="21"/>
  <c r="AV61" i="21"/>
  <c r="AV62" i="21"/>
  <c r="AV63" i="21"/>
  <c r="AV64" i="21"/>
  <c r="AV65" i="21"/>
  <c r="AV66" i="21"/>
  <c r="AV67" i="21"/>
  <c r="AV68" i="21"/>
  <c r="AV69" i="21"/>
  <c r="AV70" i="21"/>
  <c r="AV71" i="21"/>
  <c r="AV72" i="21"/>
  <c r="AV73" i="21"/>
  <c r="AV74" i="21"/>
  <c r="AV75" i="21"/>
  <c r="AV76" i="21"/>
  <c r="AV77" i="21"/>
  <c r="AV78" i="21"/>
  <c r="AV79" i="21"/>
  <c r="AV80" i="21"/>
  <c r="AV81" i="21"/>
  <c r="AV82" i="21"/>
  <c r="AV83" i="21"/>
  <c r="AV84" i="21"/>
  <c r="AV85" i="21"/>
  <c r="AV86" i="21"/>
  <c r="AV87" i="21"/>
  <c r="AV88" i="21"/>
  <c r="AV89" i="21"/>
  <c r="AV90" i="21"/>
  <c r="AV91" i="21"/>
  <c r="AV92" i="21"/>
  <c r="AV93" i="21"/>
  <c r="AV94" i="21"/>
  <c r="AV95" i="21"/>
  <c r="AV96" i="21"/>
  <c r="AV97" i="21"/>
  <c r="AV98" i="21"/>
  <c r="AV99" i="21"/>
  <c r="AV100" i="21"/>
  <c r="AV101" i="21"/>
  <c r="AV102" i="21"/>
  <c r="AV103" i="21"/>
  <c r="AV104" i="21"/>
  <c r="AV105" i="21"/>
  <c r="AV106" i="21"/>
  <c r="AV107" i="21"/>
  <c r="AV108" i="21"/>
  <c r="AV109" i="21"/>
  <c r="AV110" i="21"/>
  <c r="AV111" i="21"/>
  <c r="AV112" i="21"/>
  <c r="AV113" i="21"/>
  <c r="AV114" i="21"/>
  <c r="AV115" i="21"/>
  <c r="AV116" i="21"/>
  <c r="AV117" i="21"/>
  <c r="AV118" i="21"/>
  <c r="AV119" i="21"/>
  <c r="AV120" i="21"/>
  <c r="AV121" i="21"/>
  <c r="AV122" i="21"/>
  <c r="AV123" i="21"/>
  <c r="AV124" i="21"/>
  <c r="AV125" i="21"/>
  <c r="AV126" i="21"/>
  <c r="AV127" i="21"/>
  <c r="B3" i="24"/>
  <c r="B4" i="24"/>
  <c r="B5" i="24"/>
  <c r="B2" i="24"/>
  <c r="R5" i="24"/>
  <c r="O5" i="24"/>
  <c r="J5" i="24"/>
  <c r="K5" i="24" s="1"/>
  <c r="R4" i="24"/>
  <c r="O4" i="24"/>
  <c r="J4" i="24"/>
  <c r="K4" i="24" s="1"/>
  <c r="R3" i="24"/>
  <c r="O3" i="24"/>
  <c r="J3" i="24"/>
  <c r="K3" i="24" s="1"/>
  <c r="R2" i="24"/>
  <c r="O2" i="24"/>
  <c r="J2" i="24"/>
  <c r="K2" i="24" s="1"/>
  <c r="C57" i="7" l="1"/>
  <c r="H58" i="7"/>
  <c r="F57" i="7"/>
  <c r="G57" i="7" s="1"/>
  <c r="A57" i="7"/>
  <c r="E5" i="23"/>
  <c r="J5" i="23"/>
  <c r="J2" i="23"/>
  <c r="J3" i="23"/>
  <c r="J4" i="23"/>
  <c r="E2" i="23"/>
  <c r="E3" i="23"/>
  <c r="E4" i="23"/>
  <c r="C58" i="7" l="1"/>
  <c r="A58" i="7"/>
  <c r="F58" i="7"/>
  <c r="G58" i="7" s="1"/>
  <c r="H59" i="7"/>
  <c r="AK127" i="1"/>
  <c r="Y127" i="1"/>
  <c r="X127" i="1"/>
  <c r="W127" i="1"/>
  <c r="H127" i="1"/>
  <c r="AJ127" i="1"/>
  <c r="AM127" i="1"/>
  <c r="AK126" i="1"/>
  <c r="Y126" i="1"/>
  <c r="X126" i="1"/>
  <c r="W126" i="1"/>
  <c r="H124" i="1"/>
  <c r="H125" i="1"/>
  <c r="H126" i="1"/>
  <c r="AJ126" i="1"/>
  <c r="AM126" i="1"/>
  <c r="AK125" i="1"/>
  <c r="Y125" i="1"/>
  <c r="X125" i="1"/>
  <c r="W125" i="1"/>
  <c r="AJ125" i="1"/>
  <c r="AM125" i="1"/>
  <c r="AK124" i="1"/>
  <c r="Y124" i="1"/>
  <c r="X124" i="1"/>
  <c r="W124" i="1"/>
  <c r="AJ124" i="1"/>
  <c r="AM124" i="1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AK119" i="1"/>
  <c r="Y119" i="1"/>
  <c r="X119" i="1"/>
  <c r="W119" i="1"/>
  <c r="H119" i="1"/>
  <c r="AJ119" i="1"/>
  <c r="AM119" i="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AK114" i="1"/>
  <c r="Y114" i="1"/>
  <c r="X114" i="1"/>
  <c r="W114" i="1"/>
  <c r="AJ114" i="1"/>
  <c r="AM114" i="1"/>
  <c r="H112" i="1"/>
  <c r="H113" i="1"/>
  <c r="H114" i="1"/>
  <c r="AK113" i="1"/>
  <c r="H60" i="7" l="1"/>
  <c r="A59" i="7"/>
  <c r="C59" i="7"/>
  <c r="F59" i="7"/>
  <c r="G59" i="7" s="1"/>
  <c r="AI127" i="1"/>
  <c r="AL126" i="1"/>
  <c r="AL114" i="1"/>
  <c r="AL125" i="1"/>
  <c r="AI126" i="1"/>
  <c r="AI124" i="1"/>
  <c r="AL124" i="1"/>
  <c r="AI125" i="1"/>
  <c r="AL123" i="1"/>
  <c r="AL122" i="1"/>
  <c r="AI123" i="1"/>
  <c r="AI122" i="1"/>
  <c r="AL120" i="1"/>
  <c r="AI119" i="1"/>
  <c r="AI121" i="1"/>
  <c r="AL121" i="1"/>
  <c r="AI120" i="1"/>
  <c r="AL119" i="1"/>
  <c r="AL118" i="1"/>
  <c r="AI118" i="1"/>
  <c r="AI117" i="1"/>
  <c r="AL116" i="1"/>
  <c r="AL115" i="1"/>
  <c r="AI116" i="1"/>
  <c r="AI115" i="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M110" i="1"/>
  <c r="H109" i="1"/>
  <c r="H110" i="1"/>
  <c r="AK109" i="1"/>
  <c r="Y109" i="1"/>
  <c r="X109" i="1"/>
  <c r="W109" i="1"/>
  <c r="AJ109" i="1"/>
  <c r="AM109" i="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M104" i="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C60" i="7" l="1"/>
  <c r="A60" i="7"/>
  <c r="F60" i="7"/>
  <c r="G60" i="7" s="1"/>
  <c r="H61" i="7"/>
  <c r="AL112" i="1"/>
  <c r="AL104" i="1"/>
  <c r="AL110" i="1"/>
  <c r="AL111" i="1"/>
  <c r="AI113" i="1"/>
  <c r="AI112" i="1"/>
  <c r="AI111" i="1"/>
  <c r="AI110" i="1"/>
  <c r="AI109" i="1"/>
  <c r="AL109" i="1"/>
  <c r="AL108" i="1"/>
  <c r="AI108" i="1"/>
  <c r="AL105" i="1"/>
  <c r="AL106" i="1"/>
  <c r="AI107" i="1"/>
  <c r="AI106" i="1"/>
  <c r="AI105" i="1"/>
  <c r="AI104" i="1"/>
  <c r="AL103" i="1"/>
  <c r="AI103" i="1"/>
  <c r="AL101" i="1"/>
  <c r="AI102" i="1"/>
  <c r="AL102" i="1"/>
  <c r="AI101" i="1"/>
  <c r="A61" i="7" l="1"/>
  <c r="C61" i="7"/>
  <c r="F61" i="7"/>
  <c r="G61" i="7" s="1"/>
  <c r="H62" i="7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62" i="7" l="1"/>
  <c r="C62" i="7"/>
  <c r="F62" i="7"/>
  <c r="G62" i="7" s="1"/>
  <c r="H63" i="7"/>
  <c r="AL100" i="1"/>
  <c r="AI100" i="1"/>
  <c r="AL98" i="1"/>
  <c r="AI99" i="1"/>
  <c r="AL97" i="1"/>
  <c r="AI98" i="1"/>
  <c r="AI97" i="1"/>
  <c r="AL96" i="1"/>
  <c r="AI96" i="1"/>
  <c r="A63" i="7" l="1"/>
  <c r="F63" i="7"/>
  <c r="G63" i="7" s="1"/>
  <c r="C63" i="7"/>
  <c r="H64" i="7"/>
  <c r="AK95" i="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M93" i="1"/>
  <c r="AK92" i="1"/>
  <c r="Y92" i="1"/>
  <c r="X92" i="1"/>
  <c r="W92" i="1"/>
  <c r="AJ92" i="1"/>
  <c r="AM92" i="1"/>
  <c r="AK91" i="1"/>
  <c r="A64" i="7" l="1"/>
  <c r="F64" i="7"/>
  <c r="G64" i="7" s="1"/>
  <c r="H65" i="7"/>
  <c r="C64" i="7"/>
  <c r="AL93" i="1"/>
  <c r="AL95" i="1"/>
  <c r="AI95" i="1"/>
  <c r="AI94" i="1"/>
  <c r="AI93" i="1"/>
  <c r="AL92" i="1"/>
  <c r="AI92" i="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AK86" i="1"/>
  <c r="Y86" i="1"/>
  <c r="X86" i="1"/>
  <c r="W86" i="1"/>
  <c r="AJ86" i="1"/>
  <c r="AM86" i="1"/>
  <c r="AK85" i="1"/>
  <c r="Y85" i="1"/>
  <c r="X85" i="1"/>
  <c r="W85" i="1"/>
  <c r="AJ85" i="1"/>
  <c r="AM85" i="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M77" i="1"/>
  <c r="B75" i="19"/>
  <c r="C75" i="19"/>
  <c r="F75" i="19"/>
  <c r="G75" i="19" s="1"/>
  <c r="W75" i="19"/>
  <c r="H75" i="19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M75" i="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F65" i="7" l="1"/>
  <c r="G65" i="7" s="1"/>
  <c r="H66" i="7"/>
  <c r="C65" i="7"/>
  <c r="A65" i="7"/>
  <c r="AL77" i="1"/>
  <c r="AL90" i="1"/>
  <c r="AL75" i="1"/>
  <c r="AL89" i="1"/>
  <c r="AI91" i="1"/>
  <c r="AI90" i="1"/>
  <c r="AL88" i="1"/>
  <c r="AI89" i="1"/>
  <c r="AL86" i="1"/>
  <c r="AI88" i="1"/>
  <c r="AL87" i="1"/>
  <c r="AI87" i="1"/>
  <c r="AI86" i="1"/>
  <c r="AL85" i="1"/>
  <c r="AL81" i="1"/>
  <c r="AI85" i="1"/>
  <c r="AL84" i="1"/>
  <c r="AL83" i="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L76" i="1"/>
  <c r="AI75" i="1"/>
  <c r="AI74" i="1"/>
  <c r="AL72" i="1"/>
  <c r="AI73" i="1"/>
  <c r="AL71" i="1"/>
  <c r="AI72" i="1"/>
  <c r="AI71" i="1"/>
  <c r="Y69" i="1"/>
  <c r="X69" i="1"/>
  <c r="W69" i="1"/>
  <c r="F66" i="7" l="1"/>
  <c r="G66" i="7" s="1"/>
  <c r="A66" i="7"/>
  <c r="H67" i="7"/>
  <c r="C66" i="7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Y64" i="1"/>
  <c r="X64" i="1"/>
  <c r="W64" i="1"/>
  <c r="F67" i="7" l="1"/>
  <c r="G67" i="7" s="1"/>
  <c r="H68" i="7"/>
  <c r="C67" i="7"/>
  <c r="A67" i="7"/>
  <c r="AL68" i="1"/>
  <c r="AL67" i="1"/>
  <c r="AI68" i="1"/>
  <c r="AL66" i="1"/>
  <c r="AI67" i="1"/>
  <c r="AI66" i="1"/>
  <c r="AI65" i="1"/>
  <c r="AL65" i="1"/>
  <c r="H69" i="7" l="1"/>
  <c r="F68" i="7"/>
  <c r="G68" i="7" s="1"/>
  <c r="A68" i="7"/>
  <c r="C68" i="7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M63" i="1"/>
  <c r="AK62" i="1"/>
  <c r="AJ62" i="1"/>
  <c r="Y62" i="1"/>
  <c r="X62" i="1"/>
  <c r="W62" i="1"/>
  <c r="AM62" i="1"/>
  <c r="AK61" i="1"/>
  <c r="Y61" i="1"/>
  <c r="X61" i="1"/>
  <c r="W61" i="1"/>
  <c r="AJ61" i="1"/>
  <c r="AM61" i="1"/>
  <c r="Y60" i="1"/>
  <c r="X60" i="1"/>
  <c r="W60" i="1"/>
  <c r="AK60" i="1"/>
  <c r="AJ60" i="1"/>
  <c r="AM60" i="1"/>
  <c r="AK59" i="1"/>
  <c r="Y59" i="1"/>
  <c r="X59" i="1"/>
  <c r="W59" i="1"/>
  <c r="AJ59" i="1"/>
  <c r="AM59" i="1"/>
  <c r="AK58" i="1"/>
  <c r="Y58" i="1"/>
  <c r="X58" i="1"/>
  <c r="W58" i="1"/>
  <c r="AJ58" i="1"/>
  <c r="AM58" i="1"/>
  <c r="H70" i="7" l="1"/>
  <c r="C69" i="7"/>
  <c r="F69" i="7"/>
  <c r="G69" i="7" s="1"/>
  <c r="A69" i="7"/>
  <c r="AL63" i="1"/>
  <c r="AL58" i="1"/>
  <c r="AL64" i="1"/>
  <c r="AI63" i="1"/>
  <c r="AI61" i="1"/>
  <c r="AL59" i="1"/>
  <c r="AL62" i="1"/>
  <c r="AI62" i="1"/>
  <c r="AL61" i="1"/>
  <c r="AI60" i="1"/>
  <c r="AL60" i="1"/>
  <c r="AI59" i="1"/>
  <c r="AI58" i="1"/>
  <c r="H71" i="7" l="1"/>
  <c r="F70" i="7"/>
  <c r="G70" i="7" s="1"/>
  <c r="C70" i="7"/>
  <c r="A70" i="7"/>
  <c r="AK57" i="1"/>
  <c r="Y57" i="1"/>
  <c r="X57" i="1"/>
  <c r="W57" i="1"/>
  <c r="AJ57" i="1"/>
  <c r="AM57" i="1"/>
  <c r="AK56" i="1"/>
  <c r="Y56" i="1"/>
  <c r="X56" i="1"/>
  <c r="W56" i="1"/>
  <c r="AJ56" i="1"/>
  <c r="AM56" i="1"/>
  <c r="Y55" i="1"/>
  <c r="X55" i="1"/>
  <c r="W55" i="1"/>
  <c r="Y54" i="1"/>
  <c r="X54" i="1"/>
  <c r="W54" i="1"/>
  <c r="Y53" i="1"/>
  <c r="X53" i="1"/>
  <c r="W53" i="1"/>
  <c r="C71" i="7" l="1"/>
  <c r="F71" i="7"/>
  <c r="G71" i="7" s="1"/>
  <c r="H72" i="7"/>
  <c r="A71" i="7"/>
  <c r="AL57" i="1"/>
  <c r="AI57" i="1"/>
  <c r="AL56" i="1"/>
  <c r="AI56" i="1"/>
  <c r="C72" i="7" l="1"/>
  <c r="F72" i="7"/>
  <c r="G72" i="7" s="1"/>
  <c r="H73" i="7"/>
  <c r="A72" i="7"/>
  <c r="Y52" i="1"/>
  <c r="X52" i="1"/>
  <c r="W52" i="1"/>
  <c r="C73" i="7" l="1"/>
  <c r="H74" i="7"/>
  <c r="F73" i="7"/>
  <c r="G73" i="7" s="1"/>
  <c r="A73" i="7"/>
  <c r="Y51" i="1"/>
  <c r="X51" i="1"/>
  <c r="W51" i="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C74" i="7" l="1"/>
  <c r="F74" i="7"/>
  <c r="G74" i="7" s="1"/>
  <c r="H75" i="7"/>
  <c r="A74" i="7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W39" i="19"/>
  <c r="W38" i="19"/>
  <c r="H76" i="7" l="1"/>
  <c r="A75" i="7"/>
  <c r="F75" i="7"/>
  <c r="G75" i="7" s="1"/>
  <c r="C75" i="7"/>
  <c r="J20" i="26"/>
  <c r="J24" i="26"/>
  <c r="I20" i="26"/>
  <c r="I24" i="26"/>
  <c r="J17" i="26"/>
  <c r="J22" i="26"/>
  <c r="I18" i="26"/>
  <c r="I23" i="26"/>
  <c r="J18" i="26"/>
  <c r="J23" i="26"/>
  <c r="I19" i="26"/>
  <c r="I25" i="26"/>
  <c r="J19" i="26"/>
  <c r="J25" i="26"/>
  <c r="I21" i="26"/>
  <c r="I26" i="26"/>
  <c r="J21" i="26"/>
  <c r="I17" i="26"/>
  <c r="J26" i="26"/>
  <c r="I22" i="26"/>
  <c r="AT3" i="21"/>
  <c r="A5" i="1"/>
  <c r="G6" i="1"/>
  <c r="H16" i="15"/>
  <c r="H8" i="19"/>
  <c r="B7" i="19"/>
  <c r="C7" i="19"/>
  <c r="C6" i="19"/>
  <c r="C76" i="7" l="1"/>
  <c r="A76" i="7"/>
  <c r="H77" i="7"/>
  <c r="F76" i="7"/>
  <c r="G76" i="7" s="1"/>
  <c r="I27" i="26"/>
  <c r="J30" i="26"/>
  <c r="K26" i="26"/>
  <c r="K23" i="26"/>
  <c r="K19" i="26"/>
  <c r="K18" i="26"/>
  <c r="I38" i="26"/>
  <c r="I30" i="26"/>
  <c r="J32" i="26"/>
  <c r="J37" i="26"/>
  <c r="I32" i="26"/>
  <c r="J36" i="26"/>
  <c r="I36" i="26"/>
  <c r="J29" i="26"/>
  <c r="I35" i="26"/>
  <c r="I33" i="26"/>
  <c r="I28" i="26"/>
  <c r="J27" i="26"/>
  <c r="J40" i="26"/>
  <c r="I40" i="26"/>
  <c r="J43" i="26"/>
  <c r="I29" i="26"/>
  <c r="J34" i="26"/>
  <c r="I31" i="26"/>
  <c r="J31" i="26"/>
  <c r="J42" i="26"/>
  <c r="I43" i="26"/>
  <c r="AT4" i="21"/>
  <c r="J28" i="26"/>
  <c r="I34" i="26"/>
  <c r="J35" i="26"/>
  <c r="K35" i="26" s="1"/>
  <c r="J33" i="26"/>
  <c r="K25" i="26"/>
  <c r="K22" i="26"/>
  <c r="K24" i="26"/>
  <c r="K21" i="26"/>
  <c r="K17" i="26"/>
  <c r="K20" i="26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W36" i="19"/>
  <c r="W35" i="19"/>
  <c r="W34" i="19"/>
  <c r="W32" i="19"/>
  <c r="W33" i="19"/>
  <c r="W31" i="19"/>
  <c r="W30" i="19"/>
  <c r="W29" i="19"/>
  <c r="W27" i="19"/>
  <c r="W28" i="19"/>
  <c r="W26" i="19"/>
  <c r="A77" i="7" l="1"/>
  <c r="C77" i="7"/>
  <c r="H78" i="7"/>
  <c r="F77" i="7"/>
  <c r="G77" i="7" s="1"/>
  <c r="K27" i="26"/>
  <c r="I41" i="26"/>
  <c r="J41" i="26"/>
  <c r="K41" i="26" s="1"/>
  <c r="J39" i="26"/>
  <c r="J2" i="25"/>
  <c r="K30" i="26"/>
  <c r="K28" i="26"/>
  <c r="K31" i="26"/>
  <c r="K32" i="26"/>
  <c r="I64" i="26"/>
  <c r="AT6" i="21"/>
  <c r="AT5" i="21"/>
  <c r="I39" i="26"/>
  <c r="K34" i="26"/>
  <c r="J53" i="26"/>
  <c r="K33" i="26"/>
  <c r="I37" i="26"/>
  <c r="K37" i="26" s="1"/>
  <c r="I50" i="26"/>
  <c r="I55" i="26"/>
  <c r="I42" i="26"/>
  <c r="K42" i="26" s="1"/>
  <c r="K43" i="26"/>
  <c r="K40" i="26"/>
  <c r="J38" i="26"/>
  <c r="K38" i="26" s="1"/>
  <c r="K36" i="26"/>
  <c r="J44" i="26"/>
  <c r="J62" i="26"/>
  <c r="K29" i="26"/>
  <c r="J63" i="26"/>
  <c r="A7" i="1"/>
  <c r="G8" i="1"/>
  <c r="F17" i="15"/>
  <c r="C17" i="15"/>
  <c r="B17" i="15"/>
  <c r="H18" i="15"/>
  <c r="H10" i="19"/>
  <c r="C9" i="19"/>
  <c r="B9" i="19"/>
  <c r="W25" i="19"/>
  <c r="W24" i="19"/>
  <c r="W23" i="19"/>
  <c r="A78" i="7" l="1"/>
  <c r="C78" i="7"/>
  <c r="H79" i="7"/>
  <c r="F78" i="7"/>
  <c r="G78" i="7" s="1"/>
  <c r="J56" i="26"/>
  <c r="J50" i="26"/>
  <c r="I62" i="26"/>
  <c r="K62" i="26" s="1"/>
  <c r="I49" i="26"/>
  <c r="I53" i="26"/>
  <c r="K53" i="26"/>
  <c r="I3" i="25"/>
  <c r="I2" i="25"/>
  <c r="K2" i="25" s="1"/>
  <c r="J3" i="25"/>
  <c r="J60" i="26"/>
  <c r="I60" i="26"/>
  <c r="K39" i="26"/>
  <c r="K50" i="26"/>
  <c r="I48" i="26"/>
  <c r="J54" i="26"/>
  <c r="I52" i="26"/>
  <c r="J61" i="26"/>
  <c r="J52" i="26"/>
  <c r="J59" i="26"/>
  <c r="I45" i="26"/>
  <c r="I57" i="26"/>
  <c r="I59" i="26"/>
  <c r="J55" i="26"/>
  <c r="K55" i="26" s="1"/>
  <c r="I51" i="26"/>
  <c r="J64" i="26"/>
  <c r="K64" i="26" s="1"/>
  <c r="J58" i="26"/>
  <c r="J46" i="26"/>
  <c r="I44" i="26"/>
  <c r="K44" i="26" s="1"/>
  <c r="J51" i="26"/>
  <c r="I58" i="26"/>
  <c r="I61" i="26"/>
  <c r="I46" i="26"/>
  <c r="J45" i="26"/>
  <c r="J48" i="26"/>
  <c r="I47" i="26"/>
  <c r="I56" i="26"/>
  <c r="K56" i="26" s="1"/>
  <c r="I54" i="26"/>
  <c r="J49" i="26"/>
  <c r="J57" i="26"/>
  <c r="J47" i="26"/>
  <c r="I63" i="26"/>
  <c r="K63" i="26" s="1"/>
  <c r="A8" i="1"/>
  <c r="G9" i="1"/>
  <c r="F18" i="15"/>
  <c r="C18" i="15"/>
  <c r="B18" i="15"/>
  <c r="H19" i="15"/>
  <c r="H11" i="19"/>
  <c r="C10" i="19"/>
  <c r="B10" i="19"/>
  <c r="W21" i="19"/>
  <c r="W22" i="19"/>
  <c r="A79" i="7" l="1"/>
  <c r="F79" i="7"/>
  <c r="G79" i="7" s="1"/>
  <c r="C79" i="7"/>
  <c r="H80" i="7"/>
  <c r="K49" i="26"/>
  <c r="K3" i="25"/>
  <c r="K51" i="26"/>
  <c r="K48" i="26"/>
  <c r="K60" i="26"/>
  <c r="K57" i="26"/>
  <c r="K54" i="26"/>
  <c r="K61" i="26"/>
  <c r="K52" i="26"/>
  <c r="AT7" i="21"/>
  <c r="I69" i="26"/>
  <c r="K58" i="26"/>
  <c r="K59" i="26"/>
  <c r="I65" i="26"/>
  <c r="J72" i="26"/>
  <c r="J66" i="26"/>
  <c r="I72" i="26"/>
  <c r="I68" i="26"/>
  <c r="J67" i="26"/>
  <c r="K47" i="26"/>
  <c r="I67" i="26"/>
  <c r="J69" i="26"/>
  <c r="K69" i="26" s="1"/>
  <c r="J65" i="26"/>
  <c r="I66" i="26"/>
  <c r="I70" i="26"/>
  <c r="J71" i="26"/>
  <c r="K45" i="26"/>
  <c r="I71" i="26"/>
  <c r="K46" i="26"/>
  <c r="J70" i="26"/>
  <c r="J68" i="26"/>
  <c r="A9" i="1"/>
  <c r="G10" i="1"/>
  <c r="H20" i="15"/>
  <c r="F19" i="15"/>
  <c r="C19" i="15"/>
  <c r="B19" i="15"/>
  <c r="H12" i="19"/>
  <c r="C11" i="19"/>
  <c r="B11" i="19"/>
  <c r="A80" i="7" l="1"/>
  <c r="F80" i="7"/>
  <c r="G80" i="7" s="1"/>
  <c r="H81" i="7"/>
  <c r="C80" i="7"/>
  <c r="K68" i="26"/>
  <c r="K65" i="26"/>
  <c r="K72" i="26"/>
  <c r="K70" i="26"/>
  <c r="J77" i="26"/>
  <c r="I79" i="26"/>
  <c r="J90" i="26"/>
  <c r="J88" i="26"/>
  <c r="J86" i="26"/>
  <c r="I75" i="26"/>
  <c r="I80" i="26"/>
  <c r="J75" i="26"/>
  <c r="J95" i="26"/>
  <c r="J79" i="26"/>
  <c r="K79" i="26" s="1"/>
  <c r="K71" i="26"/>
  <c r="I76" i="26"/>
  <c r="I73" i="26"/>
  <c r="K66" i="26"/>
  <c r="I95" i="26"/>
  <c r="J74" i="26"/>
  <c r="J93" i="26"/>
  <c r="I89" i="26"/>
  <c r="I94" i="26"/>
  <c r="J87" i="26"/>
  <c r="J89" i="26"/>
  <c r="I93" i="26"/>
  <c r="K67" i="26"/>
  <c r="J82" i="26"/>
  <c r="J92" i="26"/>
  <c r="J85" i="26"/>
  <c r="I74" i="26"/>
  <c r="J73" i="26"/>
  <c r="K73" i="26" s="1"/>
  <c r="J81" i="26"/>
  <c r="I86" i="26"/>
  <c r="I84" i="26"/>
  <c r="I90" i="26"/>
  <c r="J94" i="26"/>
  <c r="I92" i="26"/>
  <c r="J83" i="26"/>
  <c r="J91" i="26"/>
  <c r="I77" i="26"/>
  <c r="A10" i="1"/>
  <c r="G11" i="1"/>
  <c r="H21" i="15"/>
  <c r="F20" i="15"/>
  <c r="C20" i="15"/>
  <c r="B20" i="15"/>
  <c r="H13" i="19"/>
  <c r="C12" i="19"/>
  <c r="B12" i="19"/>
  <c r="W20" i="19"/>
  <c r="F81" i="7" l="1"/>
  <c r="G81" i="7" s="1"/>
  <c r="A81" i="7"/>
  <c r="H82" i="7"/>
  <c r="C81" i="7"/>
  <c r="K92" i="26"/>
  <c r="K89" i="26"/>
  <c r="J141" i="26"/>
  <c r="I118" i="26"/>
  <c r="J129" i="26"/>
  <c r="I142" i="26"/>
  <c r="J108" i="26"/>
  <c r="I143" i="26"/>
  <c r="I125" i="26"/>
  <c r="J112" i="26"/>
  <c r="J130" i="26"/>
  <c r="I131" i="26"/>
  <c r="K93" i="26"/>
  <c r="I106" i="26"/>
  <c r="J145" i="26"/>
  <c r="K95" i="26"/>
  <c r="J97" i="26"/>
  <c r="I124" i="26"/>
  <c r="K90" i="26"/>
  <c r="K94" i="26"/>
  <c r="K75" i="26"/>
  <c r="K86" i="26"/>
  <c r="K77" i="26"/>
  <c r="K74" i="26"/>
  <c r="A11" i="1"/>
  <c r="G12" i="1"/>
  <c r="H22" i="15"/>
  <c r="F21" i="15"/>
  <c r="C21" i="15"/>
  <c r="B21" i="15"/>
  <c r="H14" i="19"/>
  <c r="C13" i="19"/>
  <c r="B13" i="19"/>
  <c r="W19" i="19"/>
  <c r="W18" i="19"/>
  <c r="W17" i="19"/>
  <c r="F82" i="7" l="1"/>
  <c r="G82" i="7" s="1"/>
  <c r="A82" i="7"/>
  <c r="H83" i="7"/>
  <c r="C82" i="7"/>
  <c r="G13" i="1"/>
  <c r="A12" i="1"/>
  <c r="H23" i="15"/>
  <c r="F22" i="15"/>
  <c r="C22" i="15"/>
  <c r="B22" i="15"/>
  <c r="B14" i="19"/>
  <c r="H15" i="19"/>
  <c r="C14" i="19"/>
  <c r="W16" i="19"/>
  <c r="F14" i="19"/>
  <c r="G14" i="19" s="1"/>
  <c r="F15" i="19"/>
  <c r="G15" i="19" s="1"/>
  <c r="W14" i="19"/>
  <c r="W15" i="19"/>
  <c r="F11" i="19"/>
  <c r="G11" i="19" s="1"/>
  <c r="F12" i="19"/>
  <c r="G12" i="19" s="1"/>
  <c r="F13" i="19"/>
  <c r="G13" i="19" s="1"/>
  <c r="W11" i="19"/>
  <c r="W12" i="19"/>
  <c r="W13" i="19"/>
  <c r="F10" i="19"/>
  <c r="G10" i="19" s="1"/>
  <c r="W10" i="19"/>
  <c r="F9" i="19"/>
  <c r="G9" i="19" s="1"/>
  <c r="W9" i="19"/>
  <c r="F8" i="19"/>
  <c r="G8" i="19" s="1"/>
  <c r="W8" i="19"/>
  <c r="F83" i="7" l="1"/>
  <c r="G83" i="7" s="1"/>
  <c r="H84" i="7"/>
  <c r="A83" i="7"/>
  <c r="C83" i="7"/>
  <c r="G14" i="1"/>
  <c r="A13" i="1"/>
  <c r="F23" i="15"/>
  <c r="B23" i="15"/>
  <c r="C23" i="15"/>
  <c r="B15" i="19"/>
  <c r="H16" i="19"/>
  <c r="C15" i="19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AJ8" i="1"/>
  <c r="H85" i="7" l="1"/>
  <c r="A84" i="7"/>
  <c r="F84" i="7"/>
  <c r="G84" i="7" s="1"/>
  <c r="C84" i="7"/>
  <c r="A14" i="1"/>
  <c r="G15" i="1"/>
  <c r="C16" i="19"/>
  <c r="H17" i="19"/>
  <c r="B16" i="19"/>
  <c r="F16" i="19"/>
  <c r="G16" i="19" s="1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H86" i="7" l="1"/>
  <c r="C85" i="7"/>
  <c r="F85" i="7"/>
  <c r="G85" i="7" s="1"/>
  <c r="A85" i="7"/>
  <c r="G16" i="1"/>
  <c r="A15" i="1"/>
  <c r="B17" i="19"/>
  <c r="H18" i="19"/>
  <c r="C17" i="19"/>
  <c r="F17" i="19"/>
  <c r="G17" i="19" s="1"/>
  <c r="H87" i="7" l="1"/>
  <c r="F86" i="7"/>
  <c r="G86" i="7" s="1"/>
  <c r="C86" i="7"/>
  <c r="A86" i="7"/>
  <c r="A16" i="1"/>
  <c r="G17" i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C87" i="7" l="1"/>
  <c r="F87" i="7"/>
  <c r="G87" i="7" s="1"/>
  <c r="A87" i="7"/>
  <c r="H88" i="7"/>
  <c r="A17" i="1"/>
  <c r="G18" i="1"/>
  <c r="C19" i="19"/>
  <c r="B19" i="19"/>
  <c r="H20" i="19"/>
  <c r="F19" i="19"/>
  <c r="G19" i="19" s="1"/>
  <c r="C1" i="12"/>
  <c r="C88" i="7" l="1"/>
  <c r="F88" i="7"/>
  <c r="G88" i="7" s="1"/>
  <c r="A88" i="7"/>
  <c r="H89" i="7"/>
  <c r="A18" i="1"/>
  <c r="G19" i="1"/>
  <c r="B20" i="19"/>
  <c r="H21" i="19"/>
  <c r="C20" i="19"/>
  <c r="F20" i="19"/>
  <c r="G20" i="19" s="1"/>
  <c r="M4" i="12"/>
  <c r="K4" i="12"/>
  <c r="B1" i="12"/>
  <c r="B4" i="12" s="1"/>
  <c r="B1" i="10"/>
  <c r="C89" i="7" l="1"/>
  <c r="H90" i="7"/>
  <c r="A89" i="7"/>
  <c r="F89" i="7"/>
  <c r="G89" i="7" s="1"/>
  <c r="G20" i="1"/>
  <c r="A19" i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AA96" i="22"/>
  <c r="G96" i="22"/>
  <c r="AA95" i="22"/>
  <c r="T95" i="22"/>
  <c r="W95" i="22" s="1"/>
  <c r="G95" i="22"/>
  <c r="AA94" i="22"/>
  <c r="T94" i="22"/>
  <c r="W94" i="22" s="1"/>
  <c r="G94" i="22"/>
  <c r="AA93" i="22"/>
  <c r="G93" i="22"/>
  <c r="AA92" i="22"/>
  <c r="G92" i="22"/>
  <c r="AA91" i="22"/>
  <c r="T91" i="22"/>
  <c r="W91" i="22" s="1"/>
  <c r="G91" i="22"/>
  <c r="AA90" i="22"/>
  <c r="G90" i="22"/>
  <c r="AA89" i="22"/>
  <c r="T89" i="22"/>
  <c r="W89" i="22" s="1"/>
  <c r="G89" i="22"/>
  <c r="AA88" i="22"/>
  <c r="T88" i="22"/>
  <c r="W88" i="22" s="1"/>
  <c r="G88" i="22"/>
  <c r="AA87" i="22"/>
  <c r="G87" i="22"/>
  <c r="AA86" i="22"/>
  <c r="T86" i="22"/>
  <c r="W86" i="22" s="1"/>
  <c r="G86" i="22"/>
  <c r="AA85" i="22"/>
  <c r="G85" i="22"/>
  <c r="AA84" i="22"/>
  <c r="G84" i="22"/>
  <c r="AA83" i="22"/>
  <c r="G83" i="22"/>
  <c r="AA82" i="22"/>
  <c r="G82" i="22"/>
  <c r="AA81" i="22"/>
  <c r="G81" i="22"/>
  <c r="AA80" i="22"/>
  <c r="G80" i="22"/>
  <c r="AA79" i="22"/>
  <c r="G79" i="22"/>
  <c r="AA78" i="22"/>
  <c r="G78" i="22"/>
  <c r="AA77" i="22"/>
  <c r="G77" i="22"/>
  <c r="AA76" i="22"/>
  <c r="G76" i="22"/>
  <c r="AA75" i="22"/>
  <c r="G75" i="22"/>
  <c r="AA74" i="22"/>
  <c r="G74" i="22"/>
  <c r="AA73" i="22"/>
  <c r="G73" i="22"/>
  <c r="AA72" i="22"/>
  <c r="G72" i="22"/>
  <c r="AA71" i="22"/>
  <c r="G71" i="22"/>
  <c r="AA70" i="22"/>
  <c r="G70" i="22"/>
  <c r="AA69" i="22"/>
  <c r="G69" i="22"/>
  <c r="AA68" i="22"/>
  <c r="G68" i="22"/>
  <c r="AA67" i="22"/>
  <c r="G67" i="22"/>
  <c r="AA66" i="22"/>
  <c r="G66" i="22"/>
  <c r="AA65" i="22"/>
  <c r="G65" i="22"/>
  <c r="AA64" i="22"/>
  <c r="G64" i="22"/>
  <c r="AA63" i="22"/>
  <c r="G63" i="22"/>
  <c r="AA62" i="22"/>
  <c r="G62" i="22"/>
  <c r="AA61" i="22"/>
  <c r="G61" i="22"/>
  <c r="AA60" i="22"/>
  <c r="G60" i="22"/>
  <c r="AA59" i="22"/>
  <c r="G59" i="22"/>
  <c r="AA58" i="22"/>
  <c r="G58" i="22"/>
  <c r="AA57" i="22"/>
  <c r="G57" i="22"/>
  <c r="AA56" i="22"/>
  <c r="G56" i="22"/>
  <c r="AA55" i="22"/>
  <c r="G55" i="22"/>
  <c r="AA54" i="22"/>
  <c r="G54" i="22"/>
  <c r="AA53" i="22"/>
  <c r="G53" i="22"/>
  <c r="AA52" i="22"/>
  <c r="G52" i="22"/>
  <c r="AA51" i="22"/>
  <c r="G51" i="22"/>
  <c r="AA50" i="22"/>
  <c r="G50" i="22"/>
  <c r="C50" i="22"/>
  <c r="C62" i="22" s="1"/>
  <c r="C74" i="22" s="1"/>
  <c r="C86" i="22" s="1"/>
  <c r="AA49" i="22"/>
  <c r="G49" i="22"/>
  <c r="B49" i="22"/>
  <c r="B61" i="22" s="1"/>
  <c r="B73" i="22" s="1"/>
  <c r="B85" i="22" s="1"/>
  <c r="B97" i="22" s="1"/>
  <c r="AA48" i="22"/>
  <c r="G48" i="22"/>
  <c r="AA47" i="22"/>
  <c r="H47" i="22"/>
  <c r="H59" i="22" s="1"/>
  <c r="H71" i="22" s="1"/>
  <c r="H83" i="22" s="1"/>
  <c r="H95" i="22" s="1"/>
  <c r="G47" i="22"/>
  <c r="AA46" i="22"/>
  <c r="G46" i="22"/>
  <c r="AA45" i="22"/>
  <c r="G45" i="22"/>
  <c r="AA44" i="22"/>
  <c r="G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AA42" i="22"/>
  <c r="G42" i="22"/>
  <c r="AA41" i="22"/>
  <c r="G41" i="22"/>
  <c r="AA40" i="22"/>
  <c r="G40" i="22"/>
  <c r="AA39" i="22"/>
  <c r="G39" i="22"/>
  <c r="C39" i="22"/>
  <c r="C51" i="22" s="1"/>
  <c r="C63" i="22" s="1"/>
  <c r="C75" i="22" s="1"/>
  <c r="C87" i="22" s="1"/>
  <c r="AA38" i="22"/>
  <c r="G38" i="22"/>
  <c r="AA37" i="22"/>
  <c r="G37" i="22"/>
  <c r="C37" i="22"/>
  <c r="C49" i="22" s="1"/>
  <c r="C61" i="22" s="1"/>
  <c r="C73" i="22" s="1"/>
  <c r="C85" i="22" s="1"/>
  <c r="C97" i="22" s="1"/>
  <c r="B37" i="22"/>
  <c r="AA36" i="22"/>
  <c r="M36" i="22"/>
  <c r="G36" i="22"/>
  <c r="B36" i="22"/>
  <c r="B48" i="22" s="1"/>
  <c r="B60" i="22" s="1"/>
  <c r="B72" i="22" s="1"/>
  <c r="B84" i="22" s="1"/>
  <c r="B96" i="22" s="1"/>
  <c r="AA35" i="22"/>
  <c r="G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AA33" i="22"/>
  <c r="M33" i="22"/>
  <c r="M45" i="22" s="1"/>
  <c r="T45" i="22" s="1"/>
  <c r="W45" i="22" s="1"/>
  <c r="G33" i="22"/>
  <c r="C33" i="22"/>
  <c r="C45" i="22" s="1"/>
  <c r="C57" i="22" s="1"/>
  <c r="C69" i="22" s="1"/>
  <c r="C81" i="22" s="1"/>
  <c r="C93" i="22" s="1"/>
  <c r="AA32" i="22"/>
  <c r="G32" i="22"/>
  <c r="C32" i="22"/>
  <c r="B32" i="22"/>
  <c r="AA31" i="22"/>
  <c r="G31" i="22"/>
  <c r="B31" i="22"/>
  <c r="B43" i="22" s="1"/>
  <c r="B55" i="22" s="1"/>
  <c r="B67" i="22" s="1"/>
  <c r="B79" i="22" s="1"/>
  <c r="B91" i="22" s="1"/>
  <c r="AA30" i="22"/>
  <c r="G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C90" i="7" l="1"/>
  <c r="A90" i="7"/>
  <c r="F90" i="7"/>
  <c r="G90" i="7" s="1"/>
  <c r="H91" i="7"/>
  <c r="G21" i="1"/>
  <c r="A20" i="1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H92" i="7" l="1"/>
  <c r="A91" i="7"/>
  <c r="C91" i="7"/>
  <c r="F91" i="7"/>
  <c r="G91" i="7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C92" i="7" l="1"/>
  <c r="A92" i="7"/>
  <c r="H93" i="7"/>
  <c r="F92" i="7"/>
  <c r="G92" i="7" s="1"/>
  <c r="A22" i="1"/>
  <c r="G23" i="1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A93" i="7" l="1"/>
  <c r="F93" i="7"/>
  <c r="G93" i="7" s="1"/>
  <c r="C93" i="7"/>
  <c r="H94" i="7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A94" i="7" l="1"/>
  <c r="C94" i="7"/>
  <c r="H95" i="7"/>
  <c r="F94" i="7"/>
  <c r="G94" i="7" s="1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95" i="7" l="1"/>
  <c r="F95" i="7"/>
  <c r="G95" i="7" s="1"/>
  <c r="H96" i="7"/>
  <c r="C95" i="7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A96" i="7" l="1"/>
  <c r="F96" i="7"/>
  <c r="G96" i="7" s="1"/>
  <c r="H97" i="7"/>
  <c r="C96" i="7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F97" i="7" l="1"/>
  <c r="G97" i="7" s="1"/>
  <c r="H98" i="7"/>
  <c r="C97" i="7"/>
  <c r="A97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3" i="21"/>
  <c r="C2" i="21"/>
  <c r="B2" i="21"/>
  <c r="F98" i="7" l="1"/>
  <c r="G98" i="7" s="1"/>
  <c r="A98" i="7"/>
  <c r="H99" i="7"/>
  <c r="C98" i="7"/>
  <c r="AD2" i="21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F99" i="7" l="1"/>
  <c r="G99" i="7" s="1"/>
  <c r="H100" i="7"/>
  <c r="A99" i="7"/>
  <c r="C99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B4" i="21"/>
  <c r="H101" i="7" l="1"/>
  <c r="A100" i="7"/>
  <c r="F100" i="7"/>
  <c r="G100" i="7" s="1"/>
  <c r="C100" i="7"/>
  <c r="AD4" i="21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H102" i="7" l="1"/>
  <c r="C101" i="7"/>
  <c r="A101" i="7"/>
  <c r="F101" i="7"/>
  <c r="G101" i="7" s="1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H103" i="7" l="1"/>
  <c r="F102" i="7"/>
  <c r="G102" i="7" s="1"/>
  <c r="C102" i="7"/>
  <c r="A102" i="7"/>
  <c r="AD6" i="21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C103" i="7" l="1"/>
  <c r="F103" i="7"/>
  <c r="G103" i="7" s="1"/>
  <c r="H104" i="7"/>
  <c r="A103" i="7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B8" i="21"/>
  <c r="C104" i="7" l="1"/>
  <c r="F104" i="7"/>
  <c r="G104" i="7" s="1"/>
  <c r="H105" i="7"/>
  <c r="A104" i="7"/>
  <c r="AD8" i="21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C105" i="7" l="1"/>
  <c r="H106" i="7"/>
  <c r="F105" i="7"/>
  <c r="G105" i="7" s="1"/>
  <c r="A105" i="7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C106" i="7" l="1"/>
  <c r="F106" i="7"/>
  <c r="G106" i="7" s="1"/>
  <c r="H107" i="7"/>
  <c r="A106" i="7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H108" i="7" l="1"/>
  <c r="A107" i="7"/>
  <c r="F107" i="7"/>
  <c r="G107" i="7" s="1"/>
  <c r="C107" i="7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C108" i="7" l="1"/>
  <c r="A108" i="7"/>
  <c r="H109" i="7"/>
  <c r="F108" i="7"/>
  <c r="G108" i="7" s="1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A109" i="7" l="1"/>
  <c r="C109" i="7"/>
  <c r="F109" i="7"/>
  <c r="G109" i="7" s="1"/>
  <c r="H110" i="7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110" i="7" l="1"/>
  <c r="C110" i="7"/>
  <c r="H111" i="7"/>
  <c r="F110" i="7"/>
  <c r="G110" i="7" s="1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111" i="7" l="1"/>
  <c r="F111" i="7"/>
  <c r="G111" i="7" s="1"/>
  <c r="C111" i="7"/>
  <c r="H112" i="7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A112" i="7" l="1"/>
  <c r="F112" i="7"/>
  <c r="G112" i="7" s="1"/>
  <c r="C112" i="7"/>
  <c r="H113" i="7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F113" i="7" l="1"/>
  <c r="G113" i="7" s="1"/>
  <c r="A113" i="7"/>
  <c r="C113" i="7"/>
  <c r="H114" i="7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114" i="7" l="1"/>
  <c r="G114" i="7" s="1"/>
  <c r="A114" i="7"/>
  <c r="H115" i="7"/>
  <c r="C114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F115" i="7" l="1"/>
  <c r="G115" i="7" s="1"/>
  <c r="H116" i="7"/>
  <c r="A115" i="7"/>
  <c r="C115" i="7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H117" i="7" l="1"/>
  <c r="A116" i="7"/>
  <c r="F116" i="7"/>
  <c r="G116" i="7" s="1"/>
  <c r="C116" i="7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H118" i="7" l="1"/>
  <c r="C117" i="7"/>
  <c r="A117" i="7"/>
  <c r="F117" i="7"/>
  <c r="G117" i="7" s="1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H119" i="7" l="1"/>
  <c r="F118" i="7"/>
  <c r="G118" i="7" s="1"/>
  <c r="C118" i="7"/>
  <c r="A118" i="7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19" i="7" l="1"/>
  <c r="A119" i="7"/>
  <c r="F119" i="7"/>
  <c r="G119" i="7" s="1"/>
  <c r="H120" i="7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C120" i="7" l="1"/>
  <c r="F120" i="7"/>
  <c r="G120" i="7" s="1"/>
  <c r="A120" i="7"/>
  <c r="H121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C121" i="7" l="1"/>
  <c r="H122" i="7"/>
  <c r="A121" i="7"/>
  <c r="F121" i="7"/>
  <c r="G121" i="7" s="1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C122" i="7" l="1"/>
  <c r="A122" i="7"/>
  <c r="F122" i="7"/>
  <c r="G122" i="7" s="1"/>
  <c r="H123" i="7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H124" i="7" l="1"/>
  <c r="A123" i="7"/>
  <c r="C123" i="7"/>
  <c r="F123" i="7"/>
  <c r="G123" i="7" s="1"/>
  <c r="G54" i="1"/>
  <c r="A53" i="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C124" i="7" l="1"/>
  <c r="A124" i="7"/>
  <c r="H125" i="7"/>
  <c r="F124" i="7"/>
  <c r="G124" i="7" s="1"/>
  <c r="A54" i="1"/>
  <c r="G55" i="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A125" i="7" l="1"/>
  <c r="C125" i="7"/>
  <c r="H126" i="7"/>
  <c r="F125" i="7"/>
  <c r="G125" i="7" s="1"/>
  <c r="G56" i="1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A126" i="7" l="1"/>
  <c r="C126" i="7"/>
  <c r="H127" i="7"/>
  <c r="F126" i="7"/>
  <c r="G126" i="7" s="1"/>
  <c r="G57" i="1"/>
  <c r="A56" i="1"/>
  <c r="B56" i="1"/>
  <c r="E56" i="1"/>
  <c r="F56" i="1" s="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A127" i="7" l="1"/>
  <c r="F127" i="7"/>
  <c r="G127" i="7" s="1"/>
  <c r="C127" i="7"/>
  <c r="H128" i="7"/>
  <c r="G58" i="1"/>
  <c r="A57" i="1"/>
  <c r="B57" i="1"/>
  <c r="E57" i="1"/>
  <c r="F57" i="1" s="1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A128" i="7" l="1"/>
  <c r="F128" i="7"/>
  <c r="G128" i="7" s="1"/>
  <c r="C128" i="7"/>
  <c r="H129" i="7"/>
  <c r="G59" i="1"/>
  <c r="B58" i="1"/>
  <c r="A58" i="1"/>
  <c r="E58" i="1"/>
  <c r="F58" i="1" s="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F129" i="7" l="1"/>
  <c r="G129" i="7" s="1"/>
  <c r="C129" i="7"/>
  <c r="H130" i="7"/>
  <c r="A129" i="7"/>
  <c r="G60" i="1"/>
  <c r="A59" i="1"/>
  <c r="B59" i="1"/>
  <c r="E59" i="1"/>
  <c r="F59" i="1" s="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F130" i="7" l="1"/>
  <c r="G130" i="7" s="1"/>
  <c r="A130" i="7"/>
  <c r="H131" i="7"/>
  <c r="C130" i="7"/>
  <c r="G61" i="1"/>
  <c r="A60" i="1"/>
  <c r="B60" i="1"/>
  <c r="E60" i="1"/>
  <c r="F60" i="1" s="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F131" i="7" l="1"/>
  <c r="G131" i="7" s="1"/>
  <c r="H132" i="7"/>
  <c r="A131" i="7"/>
  <c r="C131" i="7"/>
  <c r="G62" i="1"/>
  <c r="B61" i="1"/>
  <c r="E61" i="1"/>
  <c r="F61" i="1" s="1"/>
  <c r="A61" i="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H133" i="7" l="1"/>
  <c r="A132" i="7"/>
  <c r="F132" i="7"/>
  <c r="G132" i="7" s="1"/>
  <c r="C132" i="7"/>
  <c r="G63" i="1"/>
  <c r="B62" i="1"/>
  <c r="A62" i="1"/>
  <c r="E62" i="1"/>
  <c r="F62" i="1" s="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H134" i="7" l="1"/>
  <c r="C133" i="7"/>
  <c r="A133" i="7"/>
  <c r="F133" i="7"/>
  <c r="G133" i="7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H135" i="7" l="1"/>
  <c r="F134" i="7"/>
  <c r="G134" i="7" s="1"/>
  <c r="C134" i="7"/>
  <c r="A134" i="7"/>
  <c r="G65" i="1"/>
  <c r="A64" i="1"/>
  <c r="B64" i="1"/>
  <c r="E64" i="1"/>
  <c r="F64" i="1" s="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35" i="7" l="1"/>
  <c r="F135" i="7"/>
  <c r="G135" i="7" s="1"/>
  <c r="H136" i="7"/>
  <c r="A135" i="7"/>
  <c r="G66" i="1"/>
  <c r="A65" i="1"/>
  <c r="B65" i="1"/>
  <c r="E65" i="1"/>
  <c r="F65" i="1" s="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C136" i="7" l="1"/>
  <c r="F136" i="7"/>
  <c r="G136" i="7" s="1"/>
  <c r="H137" i="7"/>
  <c r="A136" i="7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C137" i="7" l="1"/>
  <c r="H138" i="7"/>
  <c r="F137" i="7"/>
  <c r="G137" i="7" s="1"/>
  <c r="A137" i="7"/>
  <c r="G68" i="1"/>
  <c r="A67" i="1"/>
  <c r="B67" i="1"/>
  <c r="E67" i="1"/>
  <c r="F67" i="1" s="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C138" i="7" l="1"/>
  <c r="F138" i="7"/>
  <c r="G138" i="7" s="1"/>
  <c r="H139" i="7"/>
  <c r="A138" i="7"/>
  <c r="G69" i="1"/>
  <c r="G70" i="1" s="1"/>
  <c r="E68" i="1"/>
  <c r="F68" i="1" s="1"/>
  <c r="A68" i="1"/>
  <c r="B68" i="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H140" i="7" l="1"/>
  <c r="A139" i="7"/>
  <c r="F139" i="7"/>
  <c r="G139" i="7" s="1"/>
  <c r="C139" i="7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C140" i="7" l="1"/>
  <c r="A140" i="7"/>
  <c r="F140" i="7"/>
  <c r="G140" i="7" s="1"/>
  <c r="H141" i="7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A141" i="7" l="1"/>
  <c r="H142" i="7"/>
  <c r="F141" i="7"/>
  <c r="G141" i="7" s="1"/>
  <c r="C141" i="7"/>
  <c r="G73" i="1"/>
  <c r="B72" i="1"/>
  <c r="E72" i="1"/>
  <c r="F72" i="1" s="1"/>
  <c r="A72" i="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A142" i="7" l="1"/>
  <c r="C142" i="7"/>
  <c r="F142" i="7"/>
  <c r="G142" i="7" s="1"/>
  <c r="H143" i="7"/>
  <c r="G74" i="1"/>
  <c r="A73" i="1"/>
  <c r="B73" i="1"/>
  <c r="E73" i="1"/>
  <c r="F73" i="1" s="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A143" i="7" l="1"/>
  <c r="F143" i="7"/>
  <c r="G143" i="7" s="1"/>
  <c r="C143" i="7"/>
  <c r="H144" i="7"/>
  <c r="G75" i="1"/>
  <c r="B74" i="1"/>
  <c r="A74" i="1"/>
  <c r="E74" i="1"/>
  <c r="F74" i="1" s="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A144" i="7" l="1"/>
  <c r="F144" i="7"/>
  <c r="G144" i="7" s="1"/>
  <c r="C144" i="7"/>
  <c r="H145" i="7"/>
  <c r="G76" i="1"/>
  <c r="E75" i="1"/>
  <c r="F75" i="1" s="1"/>
  <c r="A75" i="1"/>
  <c r="B75" i="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F145" i="7" l="1"/>
  <c r="G145" i="7" s="1"/>
  <c r="A145" i="7"/>
  <c r="H146" i="7"/>
  <c r="C145" i="7"/>
  <c r="G77" i="1"/>
  <c r="E76" i="1"/>
  <c r="F76" i="1" s="1"/>
  <c r="A76" i="1"/>
  <c r="B76" i="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F146" i="7" l="1"/>
  <c r="G146" i="7" s="1"/>
  <c r="A146" i="7"/>
  <c r="H147" i="7"/>
  <c r="C146" i="7"/>
  <c r="G78" i="1"/>
  <c r="E77" i="1"/>
  <c r="F77" i="1" s="1"/>
  <c r="A77" i="1"/>
  <c r="B77" i="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47" i="7" l="1"/>
  <c r="G147" i="7" s="1"/>
  <c r="H148" i="7"/>
  <c r="A147" i="7"/>
  <c r="C147" i="7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H149" i="7" l="1"/>
  <c r="F148" i="7"/>
  <c r="G148" i="7" s="1"/>
  <c r="A148" i="7"/>
  <c r="C148" i="7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H150" i="7" l="1"/>
  <c r="C149" i="7"/>
  <c r="A149" i="7"/>
  <c r="F149" i="7"/>
  <c r="G149" i="7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H151" i="7" l="1"/>
  <c r="F150" i="7"/>
  <c r="G150" i="7" s="1"/>
  <c r="C150" i="7"/>
  <c r="A150" i="7"/>
  <c r="G83" i="1"/>
  <c r="E82" i="1"/>
  <c r="F82" i="1" s="1"/>
  <c r="B82" i="1"/>
  <c r="A82" i="1"/>
  <c r="AH54" i="21"/>
  <c r="AG54" i="21"/>
  <c r="AF54" i="21"/>
  <c r="AE54" i="21"/>
  <c r="AC54" i="21"/>
  <c r="X55" i="21"/>
  <c r="AB55" i="21"/>
  <c r="Y55" i="21"/>
  <c r="Z55" i="21"/>
  <c r="N55" i="21"/>
  <c r="L55" i="21"/>
  <c r="M55" i="21"/>
  <c r="K55" i="21"/>
  <c r="I55" i="21"/>
  <c r="F55" i="21"/>
  <c r="G55" i="21"/>
  <c r="B55" i="21"/>
  <c r="D55" i="21"/>
  <c r="AD55" i="21" s="1"/>
  <c r="A56" i="21"/>
  <c r="E55" i="21"/>
  <c r="C55" i="21"/>
  <c r="C151" i="7" l="1"/>
  <c r="A151" i="7"/>
  <c r="F151" i="7"/>
  <c r="G151" i="7" s="1"/>
  <c r="H152" i="7"/>
  <c r="G84" i="1"/>
  <c r="A83" i="1"/>
  <c r="E83" i="1"/>
  <c r="F83" i="1" s="1"/>
  <c r="B83" i="1"/>
  <c r="AH55" i="21"/>
  <c r="AG55" i="21"/>
  <c r="AF55" i="21"/>
  <c r="AE55" i="21"/>
  <c r="AC55" i="21"/>
  <c r="X56" i="21"/>
  <c r="AB56" i="21"/>
  <c r="Y56" i="21"/>
  <c r="Z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C152" i="7" l="1"/>
  <c r="F152" i="7"/>
  <c r="G152" i="7" s="1"/>
  <c r="H153" i="7"/>
  <c r="A152" i="7"/>
  <c r="G85" i="1"/>
  <c r="A84" i="1"/>
  <c r="E84" i="1"/>
  <c r="F84" i="1" s="1"/>
  <c r="B84" i="1"/>
  <c r="AH56" i="21"/>
  <c r="AG56" i="21"/>
  <c r="AF56" i="21"/>
  <c r="AC56" i="21"/>
  <c r="AE56" i="21"/>
  <c r="X57" i="21"/>
  <c r="AB57" i="21"/>
  <c r="Y57" i="21"/>
  <c r="Z57" i="21"/>
  <c r="M57" i="21"/>
  <c r="N57" i="21"/>
  <c r="L57" i="21"/>
  <c r="K57" i="21"/>
  <c r="I57" i="21"/>
  <c r="F57" i="21"/>
  <c r="G57" i="21"/>
  <c r="C57" i="21"/>
  <c r="E57" i="21"/>
  <c r="D57" i="21"/>
  <c r="AD57" i="21" s="1"/>
  <c r="A58" i="21"/>
  <c r="B57" i="21"/>
  <c r="C153" i="7" l="1"/>
  <c r="H154" i="7"/>
  <c r="A153" i="7"/>
  <c r="F153" i="7"/>
  <c r="G153" i="7" s="1"/>
  <c r="G86" i="1"/>
  <c r="E85" i="1"/>
  <c r="F85" i="1" s="1"/>
  <c r="A85" i="1"/>
  <c r="B85" i="1"/>
  <c r="Y58" i="21"/>
  <c r="Z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C154" i="7" l="1"/>
  <c r="F154" i="7"/>
  <c r="G154" i="7" s="1"/>
  <c r="H155" i="7"/>
  <c r="A154" i="7"/>
  <c r="G87" i="1"/>
  <c r="A86" i="1"/>
  <c r="B86" i="1"/>
  <c r="E86" i="1"/>
  <c r="F86" i="1" s="1"/>
  <c r="AH58" i="21"/>
  <c r="AG58" i="21"/>
  <c r="AF58" i="21"/>
  <c r="AE58" i="21"/>
  <c r="AC58" i="21"/>
  <c r="Y59" i="21"/>
  <c r="Z59" i="21"/>
  <c r="X59" i="21"/>
  <c r="AB59" i="21"/>
  <c r="M59" i="21"/>
  <c r="N59" i="21"/>
  <c r="L59" i="21"/>
  <c r="K59" i="21"/>
  <c r="I59" i="21"/>
  <c r="F59" i="21"/>
  <c r="G59" i="21"/>
  <c r="E59" i="21"/>
  <c r="D59" i="21"/>
  <c r="AD59" i="21" s="1"/>
  <c r="C59" i="21"/>
  <c r="B59" i="21"/>
  <c r="A60" i="21"/>
  <c r="H156" i="7" l="1"/>
  <c r="A155" i="7"/>
  <c r="C155" i="7"/>
  <c r="F155" i="7"/>
  <c r="G155" i="7" s="1"/>
  <c r="G88" i="1"/>
  <c r="B87" i="1"/>
  <c r="A87" i="1"/>
  <c r="E87" i="1"/>
  <c r="F87" i="1" s="1"/>
  <c r="AH59" i="21"/>
  <c r="AG59" i="21"/>
  <c r="AF59" i="21"/>
  <c r="AE59" i="21"/>
  <c r="AC59" i="21"/>
  <c r="Y60" i="21"/>
  <c r="Z60" i="21"/>
  <c r="X60" i="21"/>
  <c r="AB60" i="21"/>
  <c r="M60" i="21"/>
  <c r="N60" i="21"/>
  <c r="L60" i="21"/>
  <c r="K60" i="21"/>
  <c r="I60" i="21"/>
  <c r="F60" i="21"/>
  <c r="G60" i="21"/>
  <c r="B60" i="21"/>
  <c r="A61" i="21"/>
  <c r="E60" i="21"/>
  <c r="D60" i="21"/>
  <c r="AD60" i="21" s="1"/>
  <c r="C60" i="21"/>
  <c r="C156" i="7" l="1"/>
  <c r="A156" i="7"/>
  <c r="F156" i="7"/>
  <c r="G156" i="7" s="1"/>
  <c r="H157" i="7"/>
  <c r="G89" i="1"/>
  <c r="A88" i="1"/>
  <c r="B88" i="1"/>
  <c r="E88" i="1"/>
  <c r="F88" i="1" s="1"/>
  <c r="X61" i="21"/>
  <c r="AB61" i="21"/>
  <c r="Y61" i="21"/>
  <c r="Z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C61" i="21"/>
  <c r="B61" i="21"/>
  <c r="E61" i="21"/>
  <c r="D61" i="21"/>
  <c r="AD61" i="21" s="1"/>
  <c r="A62" i="21"/>
  <c r="A157" i="7" l="1"/>
  <c r="C157" i="7"/>
  <c r="F157" i="7"/>
  <c r="G157" i="7" s="1"/>
  <c r="H158" i="7"/>
  <c r="G90" i="1"/>
  <c r="A89" i="1"/>
  <c r="B89" i="1"/>
  <c r="E89" i="1"/>
  <c r="F89" i="1" s="1"/>
  <c r="Y62" i="21"/>
  <c r="Z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A63" i="21"/>
  <c r="D62" i="21"/>
  <c r="AD62" i="21" s="1"/>
  <c r="E62" i="21"/>
  <c r="C62" i="21"/>
  <c r="B62" i="21"/>
  <c r="A158" i="7" l="1"/>
  <c r="C158" i="7"/>
  <c r="F158" i="7"/>
  <c r="G158" i="7" s="1"/>
  <c r="H159" i="7"/>
  <c r="G91" i="1"/>
  <c r="B90" i="1"/>
  <c r="E90" i="1"/>
  <c r="F90" i="1" s="1"/>
  <c r="A90" i="1"/>
  <c r="AH62" i="21"/>
  <c r="AG62" i="21"/>
  <c r="AF62" i="21"/>
  <c r="AE62" i="21"/>
  <c r="AC62" i="21"/>
  <c r="Y63" i="21"/>
  <c r="Z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A159" i="7" l="1"/>
  <c r="F159" i="7"/>
  <c r="G159" i="7" s="1"/>
  <c r="C159" i="7"/>
  <c r="H160" i="7"/>
  <c r="G92" i="1"/>
  <c r="B91" i="1"/>
  <c r="E91" i="1"/>
  <c r="F91" i="1" s="1"/>
  <c r="A91" i="1"/>
  <c r="AH63" i="21"/>
  <c r="AG63" i="21"/>
  <c r="AF63" i="21"/>
  <c r="AE63" i="21"/>
  <c r="AC63" i="21"/>
  <c r="AB64" i="21"/>
  <c r="Y64" i="21"/>
  <c r="Z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A160" i="7" l="1"/>
  <c r="F160" i="7"/>
  <c r="G160" i="7" s="1"/>
  <c r="C160" i="7"/>
  <c r="H161" i="7"/>
  <c r="G93" i="1"/>
  <c r="B92" i="1"/>
  <c r="A92" i="1"/>
  <c r="E92" i="1"/>
  <c r="F92" i="1" s="1"/>
  <c r="AH64" i="21"/>
  <c r="AG64" i="21"/>
  <c r="AF64" i="21"/>
  <c r="AE64" i="21"/>
  <c r="AC64" i="21"/>
  <c r="X65" i="21"/>
  <c r="AB65" i="21"/>
  <c r="Y65" i="21"/>
  <c r="Z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F161" i="7" l="1"/>
  <c r="G161" i="7" s="1"/>
  <c r="C161" i="7"/>
  <c r="H162" i="7"/>
  <c r="A161" i="7"/>
  <c r="G94" i="1"/>
  <c r="E93" i="1"/>
  <c r="F93" i="1" s="1"/>
  <c r="A93" i="1"/>
  <c r="B93" i="1"/>
  <c r="Y66" i="21"/>
  <c r="Z66" i="21"/>
  <c r="X66" i="21"/>
  <c r="AB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A67" i="21"/>
  <c r="D66" i="21"/>
  <c r="AD66" i="21" s="1"/>
  <c r="C66" i="21"/>
  <c r="E66" i="21"/>
  <c r="B66" i="21"/>
  <c r="F162" i="7" l="1"/>
  <c r="G162" i="7" s="1"/>
  <c r="A162" i="7"/>
  <c r="H163" i="7"/>
  <c r="C162" i="7"/>
  <c r="G95" i="1"/>
  <c r="A94" i="1"/>
  <c r="B94" i="1"/>
  <c r="E94" i="1"/>
  <c r="F94" i="1" s="1"/>
  <c r="AH66" i="21"/>
  <c r="AG66" i="21"/>
  <c r="AF66" i="21"/>
  <c r="AE66" i="21"/>
  <c r="AC66" i="21"/>
  <c r="X67" i="21"/>
  <c r="AB67" i="21"/>
  <c r="Y67" i="21"/>
  <c r="Z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F163" i="7" l="1"/>
  <c r="G163" i="7" s="1"/>
  <c r="H164" i="7"/>
  <c r="C163" i="7"/>
  <c r="A163" i="7"/>
  <c r="G96" i="1"/>
  <c r="A95" i="1"/>
  <c r="B95" i="1"/>
  <c r="E95" i="1"/>
  <c r="F95" i="1" s="1"/>
  <c r="X68" i="21"/>
  <c r="AB68" i="21"/>
  <c r="Y68" i="21"/>
  <c r="Z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D68" i="21"/>
  <c r="AD68" i="21" s="1"/>
  <c r="C68" i="21"/>
  <c r="B68" i="21"/>
  <c r="E68" i="21"/>
  <c r="A69" i="21"/>
  <c r="H165" i="7" l="1"/>
  <c r="F164" i="7"/>
  <c r="G164" i="7" s="1"/>
  <c r="A164" i="7"/>
  <c r="C164" i="7"/>
  <c r="G97" i="1"/>
  <c r="E96" i="1"/>
  <c r="F96" i="1" s="1"/>
  <c r="A96" i="1"/>
  <c r="B96" i="1"/>
  <c r="X69" i="21"/>
  <c r="AB69" i="21"/>
  <c r="Y69" i="21"/>
  <c r="Z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H166" i="7" l="1"/>
  <c r="C165" i="7"/>
  <c r="F165" i="7"/>
  <c r="G165" i="7" s="1"/>
  <c r="A165" i="7"/>
  <c r="G98" i="1"/>
  <c r="B97" i="1"/>
  <c r="A97" i="1"/>
  <c r="E97" i="1"/>
  <c r="F97" i="1" s="1"/>
  <c r="Y70" i="21"/>
  <c r="Z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H167" i="7" l="1"/>
  <c r="F166" i="7"/>
  <c r="G166" i="7" s="1"/>
  <c r="C166" i="7"/>
  <c r="A166" i="7"/>
  <c r="G99" i="1"/>
  <c r="A98" i="1"/>
  <c r="B98" i="1"/>
  <c r="E98" i="1"/>
  <c r="F98" i="1" s="1"/>
  <c r="AH70" i="21"/>
  <c r="AG70" i="21"/>
  <c r="AF70" i="21"/>
  <c r="AE70" i="21"/>
  <c r="AC70" i="21"/>
  <c r="Y71" i="21"/>
  <c r="Z71" i="21"/>
  <c r="X71" i="21"/>
  <c r="AB71" i="21"/>
  <c r="M71" i="21"/>
  <c r="N71" i="21"/>
  <c r="L71" i="21"/>
  <c r="K71" i="21"/>
  <c r="I71" i="21"/>
  <c r="G71" i="21"/>
  <c r="F71" i="21"/>
  <c r="B71" i="21"/>
  <c r="C71" i="21"/>
  <c r="E71" i="21"/>
  <c r="D71" i="21"/>
  <c r="AD71" i="21" s="1"/>
  <c r="A72" i="21"/>
  <c r="C167" i="7" l="1"/>
  <c r="F167" i="7"/>
  <c r="G167" i="7" s="1"/>
  <c r="H168" i="7"/>
  <c r="A167" i="7"/>
  <c r="G100" i="1"/>
  <c r="E99" i="1"/>
  <c r="F99" i="1" s="1"/>
  <c r="A99" i="1"/>
  <c r="B99" i="1"/>
  <c r="Y72" i="21"/>
  <c r="Z72" i="21"/>
  <c r="X72" i="21"/>
  <c r="AB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C72" i="21"/>
  <c r="B72" i="21"/>
  <c r="A73" i="21"/>
  <c r="E72" i="21"/>
  <c r="D72" i="21"/>
  <c r="AD72" i="21" s="1"/>
  <c r="C168" i="7" l="1"/>
  <c r="F168" i="7"/>
  <c r="G168" i="7" s="1"/>
  <c r="H169" i="7"/>
  <c r="A168" i="7"/>
  <c r="G101" i="1"/>
  <c r="A100" i="1"/>
  <c r="B100" i="1"/>
  <c r="E100" i="1"/>
  <c r="F100" i="1" s="1"/>
  <c r="AH72" i="21"/>
  <c r="AG72" i="21"/>
  <c r="AF72" i="21"/>
  <c r="AE72" i="21"/>
  <c r="AC72" i="21"/>
  <c r="X73" i="21"/>
  <c r="AB73" i="21"/>
  <c r="Y73" i="21"/>
  <c r="Z73" i="21"/>
  <c r="N73" i="21"/>
  <c r="K73" i="21"/>
  <c r="M73" i="21"/>
  <c r="L73" i="21"/>
  <c r="I73" i="21"/>
  <c r="G73" i="21"/>
  <c r="F73" i="21"/>
  <c r="C73" i="21"/>
  <c r="E73" i="21"/>
  <c r="D73" i="21"/>
  <c r="AD73" i="21" s="1"/>
  <c r="B73" i="21"/>
  <c r="A74" i="21"/>
  <c r="C169" i="7" l="1"/>
  <c r="H170" i="7"/>
  <c r="F169" i="7"/>
  <c r="G169" i="7" s="1"/>
  <c r="A169" i="7"/>
  <c r="G102" i="1"/>
  <c r="G103" i="1" s="1"/>
  <c r="E101" i="1"/>
  <c r="F101" i="1" s="1"/>
  <c r="A101" i="1"/>
  <c r="B101" i="1"/>
  <c r="Y74" i="21"/>
  <c r="Z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A75" i="21"/>
  <c r="D74" i="21"/>
  <c r="AD74" i="21" s="1"/>
  <c r="C74" i="21"/>
  <c r="E74" i="21"/>
  <c r="B74" i="21"/>
  <c r="C170" i="7" l="1"/>
  <c r="H171" i="7"/>
  <c r="F170" i="7"/>
  <c r="G170" i="7" s="1"/>
  <c r="A170" i="7"/>
  <c r="G104" i="1"/>
  <c r="B103" i="1"/>
  <c r="E103" i="1"/>
  <c r="F103" i="1" s="1"/>
  <c r="A103" i="1"/>
  <c r="B102" i="1"/>
  <c r="E102" i="1"/>
  <c r="F102" i="1" s="1"/>
  <c r="A102" i="1"/>
  <c r="AH74" i="21"/>
  <c r="AG74" i="21"/>
  <c r="AF74" i="21"/>
  <c r="AE74" i="21"/>
  <c r="AC74" i="21"/>
  <c r="Y75" i="21"/>
  <c r="Z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H172" i="7" l="1"/>
  <c r="A171" i="7"/>
  <c r="F171" i="7"/>
  <c r="G171" i="7" s="1"/>
  <c r="C171" i="7"/>
  <c r="G105" i="1"/>
  <c r="B104" i="1"/>
  <c r="E104" i="1"/>
  <c r="F104" i="1" s="1"/>
  <c r="A104" i="1"/>
  <c r="AH75" i="21"/>
  <c r="AG75" i="21"/>
  <c r="AF75" i="21"/>
  <c r="AE75" i="21"/>
  <c r="AC75" i="21"/>
  <c r="AB76" i="21"/>
  <c r="Y76" i="21"/>
  <c r="Z76" i="21"/>
  <c r="X76" i="21"/>
  <c r="L76" i="21"/>
  <c r="M76" i="21"/>
  <c r="N76" i="21"/>
  <c r="G76" i="21"/>
  <c r="K76" i="21"/>
  <c r="I76" i="21"/>
  <c r="F76" i="21"/>
  <c r="E76" i="21"/>
  <c r="D76" i="21"/>
  <c r="AD76" i="21" s="1"/>
  <c r="C76" i="21"/>
  <c r="B76" i="21"/>
  <c r="A77" i="21"/>
  <c r="C172" i="7" l="1"/>
  <c r="A172" i="7"/>
  <c r="F172" i="7"/>
  <c r="G172" i="7" s="1"/>
  <c r="H173" i="7"/>
  <c r="G106" i="1"/>
  <c r="E105" i="1"/>
  <c r="F105" i="1" s="1"/>
  <c r="A105" i="1"/>
  <c r="B105" i="1"/>
  <c r="X77" i="21"/>
  <c r="AB77" i="21"/>
  <c r="Y77" i="21"/>
  <c r="Z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C77" i="21"/>
  <c r="D77" i="21"/>
  <c r="AD77" i="21" s="1"/>
  <c r="A78" i="21"/>
  <c r="E77" i="21"/>
  <c r="B77" i="21"/>
  <c r="A173" i="7" l="1"/>
  <c r="F173" i="7"/>
  <c r="G173" i="7" s="1"/>
  <c r="C173" i="7"/>
  <c r="H174" i="7"/>
  <c r="G107" i="1"/>
  <c r="E106" i="1"/>
  <c r="F106" i="1" s="1"/>
  <c r="A106" i="1"/>
  <c r="B106" i="1"/>
  <c r="Y78" i="21"/>
  <c r="Z78" i="21"/>
  <c r="X78" i="21"/>
  <c r="AB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A79" i="21"/>
  <c r="D78" i="21"/>
  <c r="AD78" i="21" s="1"/>
  <c r="E78" i="21"/>
  <c r="C78" i="21"/>
  <c r="B78" i="21"/>
  <c r="A174" i="7" l="1"/>
  <c r="C174" i="7"/>
  <c r="F174" i="7"/>
  <c r="G174" i="7" s="1"/>
  <c r="H175" i="7"/>
  <c r="G108" i="1"/>
  <c r="A107" i="1"/>
  <c r="B107" i="1"/>
  <c r="E107" i="1"/>
  <c r="F107" i="1" s="1"/>
  <c r="AH78" i="21"/>
  <c r="AG78" i="21"/>
  <c r="AF78" i="21"/>
  <c r="AE78" i="21"/>
  <c r="AC78" i="21"/>
  <c r="X79" i="21"/>
  <c r="AB79" i="21"/>
  <c r="Y79" i="21"/>
  <c r="Z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A175" i="7" l="1"/>
  <c r="F175" i="7"/>
  <c r="G175" i="7" s="1"/>
  <c r="C175" i="7"/>
  <c r="H176" i="7"/>
  <c r="G109" i="1"/>
  <c r="G110" i="1" s="1"/>
  <c r="A108" i="1"/>
  <c r="B108" i="1"/>
  <c r="E108" i="1"/>
  <c r="F108" i="1" s="1"/>
  <c r="X80" i="21"/>
  <c r="AB80" i="21"/>
  <c r="Y80" i="21"/>
  <c r="Z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C80" i="21"/>
  <c r="B80" i="21"/>
  <c r="A81" i="21"/>
  <c r="E80" i="21"/>
  <c r="D80" i="21"/>
  <c r="AD80" i="21" s="1"/>
  <c r="A176" i="7" l="1"/>
  <c r="F176" i="7"/>
  <c r="G176" i="7" s="1"/>
  <c r="C176" i="7"/>
  <c r="H177" i="7"/>
  <c r="G111" i="1"/>
  <c r="E110" i="1"/>
  <c r="F110" i="1" s="1"/>
  <c r="A110" i="1"/>
  <c r="B110" i="1"/>
  <c r="B109" i="1"/>
  <c r="E109" i="1"/>
  <c r="F109" i="1" s="1"/>
  <c r="A109" i="1"/>
  <c r="AH80" i="21"/>
  <c r="AG80" i="21"/>
  <c r="AF80" i="21"/>
  <c r="AC80" i="21"/>
  <c r="AE80" i="21"/>
  <c r="X81" i="21"/>
  <c r="AB81" i="21"/>
  <c r="Y81" i="21"/>
  <c r="Z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F177" i="7" l="1"/>
  <c r="G177" i="7" s="1"/>
  <c r="A177" i="7"/>
  <c r="H178" i="7"/>
  <c r="C177" i="7"/>
  <c r="G112" i="1"/>
  <c r="E111" i="1"/>
  <c r="F111" i="1" s="1"/>
  <c r="A111" i="1"/>
  <c r="B111" i="1"/>
  <c r="Y82" i="21"/>
  <c r="Z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A83" i="21"/>
  <c r="D82" i="21"/>
  <c r="AD82" i="21" s="1"/>
  <c r="C82" i="21"/>
  <c r="E82" i="21"/>
  <c r="B82" i="21"/>
  <c r="F178" i="7" l="1"/>
  <c r="G178" i="7" s="1"/>
  <c r="A178" i="7"/>
  <c r="H179" i="7"/>
  <c r="C178" i="7"/>
  <c r="G113" i="1"/>
  <c r="G114" i="1" s="1"/>
  <c r="A112" i="1"/>
  <c r="B112" i="1"/>
  <c r="E112" i="1"/>
  <c r="F112" i="1" s="1"/>
  <c r="AH82" i="21"/>
  <c r="AG82" i="21"/>
  <c r="AF82" i="21"/>
  <c r="AE82" i="21"/>
  <c r="AC82" i="21"/>
  <c r="Y83" i="21"/>
  <c r="Z83" i="21"/>
  <c r="X83" i="21"/>
  <c r="AB83" i="21"/>
  <c r="M83" i="21"/>
  <c r="N83" i="21"/>
  <c r="L83" i="21"/>
  <c r="K83" i="21"/>
  <c r="I83" i="21"/>
  <c r="F83" i="21"/>
  <c r="G83" i="21"/>
  <c r="E83" i="21"/>
  <c r="A84" i="21"/>
  <c r="D83" i="21"/>
  <c r="AD83" i="21" s="1"/>
  <c r="C83" i="21"/>
  <c r="B83" i="21"/>
  <c r="F179" i="7" l="1"/>
  <c r="G179" i="7" s="1"/>
  <c r="H180" i="7"/>
  <c r="A179" i="7"/>
  <c r="C179" i="7"/>
  <c r="G115" i="1"/>
  <c r="E114" i="1"/>
  <c r="F114" i="1" s="1"/>
  <c r="A114" i="1"/>
  <c r="B114" i="1"/>
  <c r="B113" i="1"/>
  <c r="E113" i="1"/>
  <c r="F113" i="1" s="1"/>
  <c r="A113" i="1"/>
  <c r="AH83" i="21"/>
  <c r="AG83" i="21"/>
  <c r="AF83" i="21"/>
  <c r="AE83" i="21"/>
  <c r="AC83" i="21"/>
  <c r="Y84" i="21"/>
  <c r="Z84" i="21"/>
  <c r="X84" i="21"/>
  <c r="AB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H181" i="7" l="1"/>
  <c r="F180" i="7"/>
  <c r="G180" i="7" s="1"/>
  <c r="A180" i="7"/>
  <c r="C180" i="7"/>
  <c r="G116" i="1"/>
  <c r="E115" i="1"/>
  <c r="F115" i="1" s="1"/>
  <c r="A115" i="1"/>
  <c r="B115" i="1"/>
  <c r="AH84" i="21"/>
  <c r="AG84" i="21"/>
  <c r="AF84" i="21"/>
  <c r="AE84" i="21"/>
  <c r="AC84" i="21"/>
  <c r="X85" i="21"/>
  <c r="AB85" i="21"/>
  <c r="Y85" i="21"/>
  <c r="Z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H182" i="7" l="1"/>
  <c r="C181" i="7"/>
  <c r="A181" i="7"/>
  <c r="F181" i="7"/>
  <c r="G181" i="7" s="1"/>
  <c r="G117" i="1"/>
  <c r="A116" i="1"/>
  <c r="B116" i="1"/>
  <c r="E116" i="1"/>
  <c r="F116" i="1" s="1"/>
  <c r="Y86" i="21"/>
  <c r="Z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H183" i="7" l="1"/>
  <c r="F182" i="7"/>
  <c r="G182" i="7" s="1"/>
  <c r="C182" i="7"/>
  <c r="A182" i="7"/>
  <c r="G118" i="1"/>
  <c r="A117" i="1"/>
  <c r="B117" i="1"/>
  <c r="E117" i="1"/>
  <c r="F117" i="1" s="1"/>
  <c r="AH86" i="21"/>
  <c r="AG86" i="21"/>
  <c r="AF86" i="21"/>
  <c r="AE86" i="21"/>
  <c r="AC86" i="21"/>
  <c r="Y87" i="21"/>
  <c r="Z87" i="21"/>
  <c r="X87" i="21"/>
  <c r="AB87" i="21"/>
  <c r="L87" i="21"/>
  <c r="M87" i="21"/>
  <c r="N87" i="21"/>
  <c r="K87" i="21"/>
  <c r="I87" i="21"/>
  <c r="G87" i="21"/>
  <c r="F87" i="21"/>
  <c r="B87" i="21"/>
  <c r="E87" i="21"/>
  <c r="A88" i="21"/>
  <c r="D87" i="21"/>
  <c r="AD87" i="21" s="1"/>
  <c r="C87" i="21"/>
  <c r="C183" i="7" l="1"/>
  <c r="H184" i="7"/>
  <c r="A183" i="7"/>
  <c r="F183" i="7"/>
  <c r="G183" i="7" s="1"/>
  <c r="G119" i="1"/>
  <c r="E118" i="1"/>
  <c r="F118" i="1" s="1"/>
  <c r="B118" i="1"/>
  <c r="A118" i="1"/>
  <c r="AH87" i="21"/>
  <c r="AG87" i="21"/>
  <c r="AF87" i="21"/>
  <c r="AE87" i="21"/>
  <c r="AC87" i="21"/>
  <c r="AB88" i="21"/>
  <c r="Y88" i="21"/>
  <c r="Z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C184" i="7" l="1"/>
  <c r="F184" i="7"/>
  <c r="G184" i="7" s="1"/>
  <c r="H185" i="7"/>
  <c r="A184" i="7"/>
  <c r="G120" i="1"/>
  <c r="A119" i="1"/>
  <c r="E119" i="1"/>
  <c r="F119" i="1" s="1"/>
  <c r="B119" i="1"/>
  <c r="AH88" i="21"/>
  <c r="AG88" i="21"/>
  <c r="AF88" i="21"/>
  <c r="AE88" i="21"/>
  <c r="AC88" i="21"/>
  <c r="X89" i="21"/>
  <c r="AB89" i="21"/>
  <c r="Y89" i="21"/>
  <c r="Z89" i="21"/>
  <c r="L89" i="21"/>
  <c r="M89" i="21"/>
  <c r="N89" i="21"/>
  <c r="I89" i="21"/>
  <c r="K89" i="21"/>
  <c r="G89" i="21"/>
  <c r="F89" i="21"/>
  <c r="C89" i="21"/>
  <c r="E89" i="21"/>
  <c r="D89" i="21"/>
  <c r="AD89" i="21" s="1"/>
  <c r="B89" i="21"/>
  <c r="A90" i="21"/>
  <c r="C185" i="7" l="1"/>
  <c r="H186" i="7"/>
  <c r="A185" i="7"/>
  <c r="F185" i="7"/>
  <c r="G185" i="7" s="1"/>
  <c r="G121" i="1"/>
  <c r="A120" i="1"/>
  <c r="B120" i="1"/>
  <c r="E120" i="1"/>
  <c r="F120" i="1" s="1"/>
  <c r="Y90" i="21"/>
  <c r="Z90" i="21"/>
  <c r="X90" i="21"/>
  <c r="AB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C186" i="7" l="1"/>
  <c r="F186" i="7"/>
  <c r="G186" i="7" s="1"/>
  <c r="H187" i="7"/>
  <c r="A186" i="7"/>
  <c r="G122" i="1"/>
  <c r="B121" i="1"/>
  <c r="A121" i="1"/>
  <c r="E121" i="1"/>
  <c r="F121" i="1" s="1"/>
  <c r="AH90" i="21"/>
  <c r="AG90" i="21"/>
  <c r="AF90" i="21"/>
  <c r="AE90" i="21"/>
  <c r="AC90" i="21"/>
  <c r="X91" i="21"/>
  <c r="AB91" i="21"/>
  <c r="Y91" i="21"/>
  <c r="Z91" i="21"/>
  <c r="N91" i="21"/>
  <c r="L91" i="21"/>
  <c r="M91" i="21"/>
  <c r="I91" i="21"/>
  <c r="K91" i="21"/>
  <c r="F91" i="21"/>
  <c r="G91" i="21"/>
  <c r="E91" i="21"/>
  <c r="B91" i="21"/>
  <c r="A92" i="21"/>
  <c r="D91" i="21"/>
  <c r="AD91" i="21" s="1"/>
  <c r="C91" i="21"/>
  <c r="H188" i="7" l="1"/>
  <c r="A187" i="7"/>
  <c r="C187" i="7"/>
  <c r="F187" i="7"/>
  <c r="G187" i="7" s="1"/>
  <c r="G123" i="1"/>
  <c r="B122" i="1"/>
  <c r="A122" i="1"/>
  <c r="E122" i="1"/>
  <c r="F122" i="1" s="1"/>
  <c r="AH91" i="21"/>
  <c r="AG91" i="21"/>
  <c r="AF91" i="21"/>
  <c r="AE91" i="21"/>
  <c r="AC91" i="21"/>
  <c r="X92" i="21"/>
  <c r="AB92" i="21"/>
  <c r="Y92" i="21"/>
  <c r="Z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C188" i="7" l="1"/>
  <c r="A188" i="7"/>
  <c r="F188" i="7"/>
  <c r="G188" i="7" s="1"/>
  <c r="H189" i="7"/>
  <c r="G124" i="1"/>
  <c r="E123" i="1"/>
  <c r="F123" i="1" s="1"/>
  <c r="A123" i="1"/>
  <c r="B123" i="1"/>
  <c r="X93" i="21"/>
  <c r="AB93" i="21"/>
  <c r="Y93" i="21"/>
  <c r="Z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A189" i="7" l="1"/>
  <c r="C189" i="7"/>
  <c r="F189" i="7"/>
  <c r="G189" i="7" s="1"/>
  <c r="H190" i="7"/>
  <c r="G125" i="1"/>
  <c r="E124" i="1"/>
  <c r="F124" i="1" s="1"/>
  <c r="B124" i="1"/>
  <c r="A124" i="1"/>
  <c r="Y94" i="21"/>
  <c r="Z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A190" i="7" l="1"/>
  <c r="C190" i="7"/>
  <c r="F190" i="7"/>
  <c r="G190" i="7" s="1"/>
  <c r="H191" i="7"/>
  <c r="G126" i="1"/>
  <c r="E125" i="1"/>
  <c r="F125" i="1" s="1"/>
  <c r="A125" i="1"/>
  <c r="B125" i="1"/>
  <c r="AH94" i="21"/>
  <c r="AG94" i="21"/>
  <c r="AF94" i="21"/>
  <c r="AE94" i="21"/>
  <c r="AC94" i="21"/>
  <c r="Y95" i="21"/>
  <c r="Z95" i="21"/>
  <c r="X95" i="21"/>
  <c r="AB95" i="21"/>
  <c r="M95" i="21"/>
  <c r="N95" i="21"/>
  <c r="L95" i="21"/>
  <c r="K95" i="21"/>
  <c r="I95" i="21"/>
  <c r="F95" i="21"/>
  <c r="G95" i="21"/>
  <c r="E95" i="21"/>
  <c r="C95" i="21"/>
  <c r="B95" i="21"/>
  <c r="A96" i="21"/>
  <c r="D95" i="21"/>
  <c r="AD95" i="21" s="1"/>
  <c r="A191" i="7" l="1"/>
  <c r="F191" i="7"/>
  <c r="G191" i="7" s="1"/>
  <c r="C191" i="7"/>
  <c r="H192" i="7"/>
  <c r="G127" i="1"/>
  <c r="G128" i="1" s="1"/>
  <c r="A126" i="1"/>
  <c r="B126" i="1"/>
  <c r="E126" i="1"/>
  <c r="F126" i="1" s="1"/>
  <c r="AH95" i="21"/>
  <c r="AG95" i="21"/>
  <c r="AF95" i="21"/>
  <c r="AE95" i="21"/>
  <c r="AC95" i="21"/>
  <c r="Y96" i="21"/>
  <c r="Z96" i="21"/>
  <c r="X96" i="21"/>
  <c r="AB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A192" i="7" l="1"/>
  <c r="F192" i="7"/>
  <c r="G192" i="7" s="1"/>
  <c r="C192" i="7"/>
  <c r="H193" i="7"/>
  <c r="G129" i="1"/>
  <c r="B128" i="1"/>
  <c r="E128" i="1"/>
  <c r="F128" i="1" s="1"/>
  <c r="A128" i="1"/>
  <c r="J216" i="26"/>
  <c r="I146" i="26"/>
  <c r="I129" i="26"/>
  <c r="K129" i="26" s="1"/>
  <c r="I205" i="26"/>
  <c r="AT18" i="21"/>
  <c r="J188" i="26"/>
  <c r="I108" i="26"/>
  <c r="K108" i="26" s="1"/>
  <c r="J157" i="26"/>
  <c r="I204" i="26"/>
  <c r="I117" i="26"/>
  <c r="I190" i="26"/>
  <c r="AT51" i="21"/>
  <c r="J184" i="26"/>
  <c r="I101" i="26"/>
  <c r="I88" i="26"/>
  <c r="K88" i="26" s="1"/>
  <c r="AA80" i="21"/>
  <c r="J106" i="26"/>
  <c r="K106" i="26" s="1"/>
  <c r="AA59" i="21"/>
  <c r="J202" i="26"/>
  <c r="J172" i="26"/>
  <c r="I164" i="26"/>
  <c r="J148" i="26"/>
  <c r="I134" i="26"/>
  <c r="I151" i="26"/>
  <c r="AT92" i="21"/>
  <c r="I82" i="26"/>
  <c r="K82" i="26" s="1"/>
  <c r="AT9" i="21"/>
  <c r="I191" i="26"/>
  <c r="J100" i="26"/>
  <c r="I83" i="26"/>
  <c r="K83" i="26" s="1"/>
  <c r="AT39" i="21"/>
  <c r="J164" i="26"/>
  <c r="J78" i="26"/>
  <c r="J133" i="26"/>
  <c r="J162" i="26"/>
  <c r="AA93" i="21"/>
  <c r="I200" i="26"/>
  <c r="J175" i="26"/>
  <c r="AT110" i="21"/>
  <c r="J174" i="26"/>
  <c r="AT115" i="21"/>
  <c r="AA79" i="21"/>
  <c r="J84" i="26"/>
  <c r="K84" i="26" s="1"/>
  <c r="AT108" i="21"/>
  <c r="AT71" i="21"/>
  <c r="J200" i="26"/>
  <c r="I81" i="26"/>
  <c r="K81" i="26" s="1"/>
  <c r="I113" i="26"/>
  <c r="AT40" i="21"/>
  <c r="I85" i="26"/>
  <c r="K85" i="26" s="1"/>
  <c r="AA90" i="21"/>
  <c r="I109" i="26"/>
  <c r="I155" i="26"/>
  <c r="AT8" i="21"/>
  <c r="I175" i="26"/>
  <c r="AA86" i="21"/>
  <c r="AT78" i="21"/>
  <c r="I202" i="26"/>
  <c r="I99" i="26"/>
  <c r="AA69" i="21"/>
  <c r="J147" i="26"/>
  <c r="I212" i="26"/>
  <c r="AT88" i="21"/>
  <c r="AA95" i="21"/>
  <c r="U95" i="21" s="1"/>
  <c r="J136" i="26"/>
  <c r="J143" i="26"/>
  <c r="K143" i="26" s="1"/>
  <c r="AT127" i="21"/>
  <c r="J189" i="26"/>
  <c r="AT95" i="21"/>
  <c r="I132" i="26"/>
  <c r="I121" i="26"/>
  <c r="J117" i="26"/>
  <c r="AA82" i="21"/>
  <c r="AT42" i="21"/>
  <c r="I78" i="26"/>
  <c r="I87" i="26"/>
  <c r="K87" i="26" s="1"/>
  <c r="AT91" i="21"/>
  <c r="AT74" i="21"/>
  <c r="J218" i="26"/>
  <c r="J113" i="26"/>
  <c r="I103" i="26"/>
  <c r="J150" i="26"/>
  <c r="AT114" i="21"/>
  <c r="AA102" i="21"/>
  <c r="AA75" i="21"/>
  <c r="I196" i="26"/>
  <c r="AT96" i="21"/>
  <c r="I188" i="26"/>
  <c r="J169" i="26"/>
  <c r="AT118" i="21"/>
  <c r="AT25" i="21"/>
  <c r="AT60" i="21"/>
  <c r="J213" i="26"/>
  <c r="I169" i="26"/>
  <c r="J186" i="26"/>
  <c r="AA78" i="21"/>
  <c r="J152" i="26"/>
  <c r="I141" i="26"/>
  <c r="K141" i="26" s="1"/>
  <c r="AT111" i="21"/>
  <c r="I148" i="26"/>
  <c r="AT64" i="21"/>
  <c r="AA92" i="21"/>
  <c r="J159" i="26"/>
  <c r="J76" i="26"/>
  <c r="K76" i="26" s="1"/>
  <c r="J222" i="26"/>
  <c r="I221" i="26"/>
  <c r="I176" i="26"/>
  <c r="AA112" i="21"/>
  <c r="AA101" i="21"/>
  <c r="AT89" i="21"/>
  <c r="AT57" i="21"/>
  <c r="I91" i="26"/>
  <c r="K91" i="26" s="1"/>
  <c r="AA57" i="21"/>
  <c r="AT27" i="21"/>
  <c r="AT90" i="21"/>
  <c r="AT14" i="21"/>
  <c r="J80" i="26"/>
  <c r="K80" i="26" s="1"/>
  <c r="J198" i="26"/>
  <c r="I162" i="26"/>
  <c r="I201" i="26"/>
  <c r="I183" i="26"/>
  <c r="AT101" i="21"/>
  <c r="AT105" i="21"/>
  <c r="J221" i="26"/>
  <c r="K221" i="26" s="1"/>
  <c r="I172" i="26"/>
  <c r="I157" i="26"/>
  <c r="J109" i="26"/>
  <c r="J132" i="26"/>
  <c r="AT33" i="21"/>
  <c r="AA104" i="21"/>
  <c r="J220" i="26"/>
  <c r="AT62" i="21"/>
  <c r="AT55" i="21"/>
  <c r="I206" i="26"/>
  <c r="AT120" i="21"/>
  <c r="J153" i="26"/>
  <c r="I165" i="26"/>
  <c r="AT97" i="21"/>
  <c r="AA125" i="21"/>
  <c r="I220" i="26"/>
  <c r="AA122" i="21"/>
  <c r="I127" i="26"/>
  <c r="AA58" i="21"/>
  <c r="J110" i="26"/>
  <c r="I97" i="26"/>
  <c r="K97" i="26" s="1"/>
  <c r="AT125" i="21"/>
  <c r="I198" i="26"/>
  <c r="I115" i="26"/>
  <c r="AA117" i="21"/>
  <c r="AT83" i="21"/>
  <c r="AT29" i="21"/>
  <c r="J103" i="26"/>
  <c r="I96" i="26"/>
  <c r="AT109" i="21"/>
  <c r="I152" i="26"/>
  <c r="AA68" i="21"/>
  <c r="J166" i="26"/>
  <c r="I119" i="26"/>
  <c r="AA106" i="21"/>
  <c r="AT47" i="21"/>
  <c r="AT56" i="21"/>
  <c r="AA60" i="21"/>
  <c r="I211" i="26"/>
  <c r="AA84" i="21"/>
  <c r="I223" i="26"/>
  <c r="AT19" i="21"/>
  <c r="I193" i="26"/>
  <c r="J128" i="26"/>
  <c r="AA70" i="21"/>
  <c r="J204" i="26"/>
  <c r="I104" i="26"/>
  <c r="J181" i="26"/>
  <c r="I112" i="26"/>
  <c r="K112" i="26" s="1"/>
  <c r="J107" i="26"/>
  <c r="I111" i="26"/>
  <c r="I168" i="26"/>
  <c r="AT58" i="21"/>
  <c r="AT10" i="21"/>
  <c r="AA74" i="21"/>
  <c r="AT112" i="21"/>
  <c r="I126" i="26"/>
  <c r="AT102" i="21"/>
  <c r="AA94" i="21"/>
  <c r="J137" i="26"/>
  <c r="AT50" i="21"/>
  <c r="I137" i="26"/>
  <c r="AA103" i="21"/>
  <c r="AT63" i="21"/>
  <c r="AT106" i="21"/>
  <c r="J224" i="26"/>
  <c r="I120" i="26"/>
  <c r="J118" i="26"/>
  <c r="K118" i="26" s="1"/>
  <c r="AA100" i="21"/>
  <c r="AT22" i="21"/>
  <c r="J170" i="26"/>
  <c r="AA71" i="21"/>
  <c r="I139" i="26"/>
  <c r="I194" i="26"/>
  <c r="J210" i="26"/>
  <c r="I189" i="26"/>
  <c r="AA105" i="21"/>
  <c r="AA65" i="21"/>
  <c r="AA126" i="21"/>
  <c r="J161" i="26"/>
  <c r="J171" i="26"/>
  <c r="I177" i="26"/>
  <c r="J124" i="26"/>
  <c r="K124" i="26" s="1"/>
  <c r="I184" i="26"/>
  <c r="AT41" i="21"/>
  <c r="J179" i="26"/>
  <c r="J154" i="26"/>
  <c r="AT122" i="21"/>
  <c r="AA89" i="21"/>
  <c r="I153" i="26"/>
  <c r="AT116" i="21"/>
  <c r="I98" i="26"/>
  <c r="AT69" i="21"/>
  <c r="J144" i="26"/>
  <c r="AT86" i="21"/>
  <c r="I114" i="26"/>
  <c r="J102" i="26"/>
  <c r="AT67" i="21"/>
  <c r="I216" i="26"/>
  <c r="AT59" i="21"/>
  <c r="I224" i="26"/>
  <c r="AA63" i="21"/>
  <c r="I156" i="26"/>
  <c r="I179" i="26"/>
  <c r="J99" i="26"/>
  <c r="J168" i="26"/>
  <c r="AT66" i="21"/>
  <c r="AT79" i="21"/>
  <c r="AT17" i="21"/>
  <c r="AA124" i="21"/>
  <c r="J199" i="26"/>
  <c r="AT45" i="21"/>
  <c r="J131" i="26"/>
  <c r="K131" i="26" s="1"/>
  <c r="J185" i="26"/>
  <c r="J219" i="26"/>
  <c r="I100" i="26"/>
  <c r="AA72" i="21"/>
  <c r="AA56" i="21"/>
  <c r="AT81" i="21"/>
  <c r="I133" i="26"/>
  <c r="AT31" i="21"/>
  <c r="J223" i="26"/>
  <c r="AA64" i="21"/>
  <c r="I181" i="26"/>
  <c r="J104" i="26"/>
  <c r="AA113" i="21"/>
  <c r="I161" i="26"/>
  <c r="I214" i="26"/>
  <c r="I150" i="26"/>
  <c r="J208" i="26"/>
  <c r="AA54" i="21"/>
  <c r="AA76" i="21"/>
  <c r="J115" i="26"/>
  <c r="J142" i="26"/>
  <c r="K142" i="26" s="1"/>
  <c r="I182" i="26"/>
  <c r="AT43" i="21"/>
  <c r="I135" i="26"/>
  <c r="AA114" i="21"/>
  <c r="J151" i="26"/>
  <c r="J177" i="26"/>
  <c r="J135" i="26"/>
  <c r="I209" i="26"/>
  <c r="AT103" i="21"/>
  <c r="AA91" i="21"/>
  <c r="I178" i="26"/>
  <c r="AT11" i="21"/>
  <c r="J173" i="26"/>
  <c r="I197" i="26"/>
  <c r="J191" i="26"/>
  <c r="AT76" i="21"/>
  <c r="J187" i="26"/>
  <c r="AA110" i="21"/>
  <c r="I102" i="26"/>
  <c r="I154" i="26"/>
  <c r="I160" i="26"/>
  <c r="I186" i="26"/>
  <c r="I128" i="26"/>
  <c r="AA116" i="21"/>
  <c r="J134" i="26"/>
  <c r="K134" i="26" s="1"/>
  <c r="AT30" i="21"/>
  <c r="J163" i="26"/>
  <c r="J114" i="26"/>
  <c r="I136" i="26"/>
  <c r="AT93" i="21"/>
  <c r="J217" i="26"/>
  <c r="J160" i="26"/>
  <c r="J105" i="26"/>
  <c r="AT46" i="21"/>
  <c r="AT94" i="21"/>
  <c r="AT121" i="21"/>
  <c r="AT104" i="21"/>
  <c r="J196" i="26"/>
  <c r="K196" i="26" s="1"/>
  <c r="AT126" i="21"/>
  <c r="AT16" i="21"/>
  <c r="I207" i="26"/>
  <c r="J193" i="26"/>
  <c r="I203" i="26"/>
  <c r="AA97" i="21"/>
  <c r="I163" i="26"/>
  <c r="I185" i="26"/>
  <c r="I147" i="26"/>
  <c r="J194" i="26"/>
  <c r="I192" i="26"/>
  <c r="J182" i="26"/>
  <c r="J120" i="26"/>
  <c r="J155" i="26"/>
  <c r="I107" i="26"/>
  <c r="J211" i="26"/>
  <c r="I208" i="26"/>
  <c r="I213" i="26"/>
  <c r="I222" i="26"/>
  <c r="J212" i="26"/>
  <c r="K212" i="26" s="1"/>
  <c r="AT37" i="21"/>
  <c r="J121" i="26"/>
  <c r="AT123" i="21"/>
  <c r="I167" i="26"/>
  <c r="J123" i="26"/>
  <c r="K123" i="26" s="1"/>
  <c r="AT117" i="21"/>
  <c r="AT61" i="21"/>
  <c r="I149" i="26"/>
  <c r="J207" i="26"/>
  <c r="AT21" i="21"/>
  <c r="J122" i="26"/>
  <c r="AT24" i="21"/>
  <c r="J116" i="26"/>
  <c r="AA96" i="21"/>
  <c r="J203" i="26"/>
  <c r="AT80" i="21"/>
  <c r="J138" i="26"/>
  <c r="I145" i="26"/>
  <c r="K145" i="26" s="1"/>
  <c r="AA108" i="21"/>
  <c r="I171" i="26"/>
  <c r="AA118" i="21"/>
  <c r="I123" i="26"/>
  <c r="J140" i="26"/>
  <c r="I199" i="26"/>
  <c r="AT54" i="21"/>
  <c r="AT28" i="21"/>
  <c r="AT65" i="21"/>
  <c r="AT38" i="21"/>
  <c r="AA121" i="21"/>
  <c r="J125" i="26"/>
  <c r="K125" i="26" s="1"/>
  <c r="J111" i="26"/>
  <c r="K111" i="26" s="1"/>
  <c r="AT84" i="21"/>
  <c r="I130" i="26"/>
  <c r="K130" i="26" s="1"/>
  <c r="J178" i="26"/>
  <c r="AT113" i="21"/>
  <c r="J139" i="26"/>
  <c r="J190" i="26"/>
  <c r="J119" i="26"/>
  <c r="J98" i="26"/>
  <c r="AT85" i="21"/>
  <c r="I159" i="26"/>
  <c r="I173" i="26"/>
  <c r="I144" i="26"/>
  <c r="I110" i="26"/>
  <c r="AA77" i="21"/>
  <c r="I170" i="26"/>
  <c r="AT15" i="21"/>
  <c r="I116" i="26"/>
  <c r="AT68" i="21"/>
  <c r="I166" i="26"/>
  <c r="J183" i="26"/>
  <c r="AT35" i="21"/>
  <c r="AA123" i="21"/>
  <c r="J192" i="26"/>
  <c r="J209" i="26"/>
  <c r="J146" i="26"/>
  <c r="K146" i="26" s="1"/>
  <c r="I122" i="26"/>
  <c r="I105" i="26"/>
  <c r="J126" i="26"/>
  <c r="J127" i="26"/>
  <c r="K127" i="26" s="1"/>
  <c r="I138" i="26"/>
  <c r="AT26" i="21"/>
  <c r="AA99" i="21"/>
  <c r="J206" i="26"/>
  <c r="J205" i="26"/>
  <c r="AA109" i="21"/>
  <c r="AT99" i="21"/>
  <c r="AT12" i="21"/>
  <c r="J96" i="26"/>
  <c r="J167" i="26"/>
  <c r="AT36" i="21"/>
  <c r="I140" i="26"/>
  <c r="AA115" i="21"/>
  <c r="J101" i="26"/>
  <c r="K101" i="26" s="1"/>
  <c r="J156" i="26"/>
  <c r="AA67" i="21"/>
  <c r="I180" i="26"/>
  <c r="J214" i="26"/>
  <c r="I174" i="26"/>
  <c r="J195" i="26"/>
  <c r="AA66" i="21"/>
  <c r="J158" i="26"/>
  <c r="AT20" i="21"/>
  <c r="AT49" i="21"/>
  <c r="J149" i="26"/>
  <c r="AA85" i="21"/>
  <c r="AT107" i="21"/>
  <c r="AA81" i="21"/>
  <c r="AT73" i="21"/>
  <c r="I187" i="26"/>
  <c r="AT72" i="21"/>
  <c r="AT13" i="21"/>
  <c r="J165" i="26"/>
  <c r="AT34" i="21"/>
  <c r="AA73" i="21"/>
  <c r="I210" i="26"/>
  <c r="I217" i="26"/>
  <c r="J197" i="26"/>
  <c r="AA120" i="21"/>
  <c r="AA83" i="21"/>
  <c r="AA119" i="21"/>
  <c r="I195" i="26"/>
  <c r="AT124" i="21"/>
  <c r="AT82" i="21"/>
  <c r="AT70" i="21"/>
  <c r="AT98" i="21"/>
  <c r="AA107" i="21"/>
  <c r="AA55" i="21"/>
  <c r="AT75" i="21"/>
  <c r="AA61" i="21"/>
  <c r="AT53" i="21"/>
  <c r="AT44" i="21"/>
  <c r="J201" i="26"/>
  <c r="AA111" i="21"/>
  <c r="AA62" i="21"/>
  <c r="AT119" i="21"/>
  <c r="AT48" i="21"/>
  <c r="AA88" i="21"/>
  <c r="AT32" i="21"/>
  <c r="I215" i="26"/>
  <c r="AA98" i="21"/>
  <c r="AA87" i="21"/>
  <c r="AT23" i="21"/>
  <c r="I218" i="26"/>
  <c r="AT87" i="21"/>
  <c r="AT52" i="21"/>
  <c r="J180" i="26"/>
  <c r="I158" i="26"/>
  <c r="J215" i="26"/>
  <c r="I219" i="26"/>
  <c r="AT100" i="21"/>
  <c r="AT77" i="21"/>
  <c r="J176" i="26"/>
  <c r="A127" i="1"/>
  <c r="B127" i="1"/>
  <c r="E127" i="1"/>
  <c r="F127" i="1" s="1"/>
  <c r="AH96" i="21"/>
  <c r="AG96" i="21"/>
  <c r="AF96" i="21"/>
  <c r="AE96" i="21"/>
  <c r="AC96" i="21"/>
  <c r="X97" i="21"/>
  <c r="AB97" i="21"/>
  <c r="Y97" i="21"/>
  <c r="Z97" i="21"/>
  <c r="N97" i="21"/>
  <c r="K97" i="21"/>
  <c r="M97" i="21"/>
  <c r="L97" i="21"/>
  <c r="I97" i="21"/>
  <c r="G97" i="21"/>
  <c r="F97" i="21"/>
  <c r="C97" i="21"/>
  <c r="A98" i="21"/>
  <c r="E97" i="21"/>
  <c r="D97" i="21"/>
  <c r="AD97" i="21" s="1"/>
  <c r="B97" i="21"/>
  <c r="F193" i="7" l="1"/>
  <c r="G193" i="7" s="1"/>
  <c r="C193" i="7"/>
  <c r="H194" i="7"/>
  <c r="A193" i="7"/>
  <c r="K190" i="26"/>
  <c r="K201" i="26"/>
  <c r="K179" i="26"/>
  <c r="K204" i="26"/>
  <c r="K191" i="26"/>
  <c r="K126" i="26"/>
  <c r="K139" i="26"/>
  <c r="K103" i="26"/>
  <c r="K104" i="26"/>
  <c r="K205" i="26"/>
  <c r="K178" i="26"/>
  <c r="K155" i="26"/>
  <c r="K132" i="26"/>
  <c r="K102" i="26"/>
  <c r="K109" i="26"/>
  <c r="K168" i="26"/>
  <c r="K153" i="26"/>
  <c r="G130" i="1"/>
  <c r="B129" i="1"/>
  <c r="E129" i="1"/>
  <c r="F129" i="1" s="1"/>
  <c r="A129" i="1"/>
  <c r="K203" i="26"/>
  <c r="K182" i="26"/>
  <c r="K180" i="26"/>
  <c r="K165" i="26"/>
  <c r="K149" i="26"/>
  <c r="K119" i="26"/>
  <c r="K163" i="26"/>
  <c r="K208" i="26"/>
  <c r="K220" i="26"/>
  <c r="K150" i="26"/>
  <c r="K210" i="26"/>
  <c r="K195" i="26"/>
  <c r="K197" i="26"/>
  <c r="K192" i="26"/>
  <c r="K98" i="26"/>
  <c r="K138" i="26"/>
  <c r="K116" i="26"/>
  <c r="K207" i="26"/>
  <c r="K121" i="26"/>
  <c r="K99" i="26"/>
  <c r="K161" i="26"/>
  <c r="K159" i="26"/>
  <c r="K152" i="26"/>
  <c r="K105" i="26"/>
  <c r="K224" i="26"/>
  <c r="K215" i="26"/>
  <c r="K135" i="26"/>
  <c r="K151" i="26"/>
  <c r="K176" i="26"/>
  <c r="K96" i="26"/>
  <c r="K183" i="26"/>
  <c r="K140" i="26"/>
  <c r="K166" i="26"/>
  <c r="K117" i="26"/>
  <c r="K200" i="26"/>
  <c r="K113" i="26"/>
  <c r="K189" i="26"/>
  <c r="K136" i="26"/>
  <c r="O93" i="21"/>
  <c r="R93" i="21"/>
  <c r="U93" i="21"/>
  <c r="W93" i="21"/>
  <c r="K100" i="26"/>
  <c r="K172" i="26"/>
  <c r="O59" i="21"/>
  <c r="R59" i="21"/>
  <c r="W59" i="21"/>
  <c r="U59" i="21"/>
  <c r="O80" i="21"/>
  <c r="R80" i="21"/>
  <c r="W80" i="21"/>
  <c r="U80" i="21"/>
  <c r="K216" i="26"/>
  <c r="O88" i="21"/>
  <c r="R88" i="21"/>
  <c r="U88" i="21"/>
  <c r="W88" i="21"/>
  <c r="O119" i="21"/>
  <c r="R119" i="21"/>
  <c r="O73" i="21"/>
  <c r="R73" i="21"/>
  <c r="U73" i="21"/>
  <c r="W73" i="21"/>
  <c r="O96" i="21"/>
  <c r="R96" i="21"/>
  <c r="O116" i="21"/>
  <c r="R116" i="21"/>
  <c r="K173" i="26"/>
  <c r="O114" i="21"/>
  <c r="R114" i="21"/>
  <c r="O54" i="21"/>
  <c r="R54" i="21"/>
  <c r="U54" i="21"/>
  <c r="W54" i="21"/>
  <c r="O64" i="21"/>
  <c r="R64" i="21"/>
  <c r="U64" i="21"/>
  <c r="W64" i="21"/>
  <c r="O89" i="21"/>
  <c r="R89" i="21"/>
  <c r="W89" i="21"/>
  <c r="U89" i="21"/>
  <c r="O71" i="21"/>
  <c r="R71" i="21"/>
  <c r="W71" i="21"/>
  <c r="U71" i="21"/>
  <c r="K107" i="26"/>
  <c r="O122" i="21"/>
  <c r="R122" i="21"/>
  <c r="W96" i="21"/>
  <c r="O98" i="21"/>
  <c r="R98" i="21"/>
  <c r="O62" i="21"/>
  <c r="R62" i="21"/>
  <c r="U62" i="21"/>
  <c r="W62" i="21"/>
  <c r="O83" i="21"/>
  <c r="R83" i="21"/>
  <c r="W83" i="21"/>
  <c r="U83" i="21"/>
  <c r="O66" i="21"/>
  <c r="R66" i="21"/>
  <c r="W66" i="21"/>
  <c r="U66" i="21"/>
  <c r="O109" i="21"/>
  <c r="R109" i="21"/>
  <c r="K206" i="26"/>
  <c r="O123" i="21"/>
  <c r="R123" i="21"/>
  <c r="K122" i="26"/>
  <c r="O97" i="21"/>
  <c r="R97" i="21"/>
  <c r="K193" i="26"/>
  <c r="K217" i="26"/>
  <c r="K115" i="26"/>
  <c r="O56" i="21"/>
  <c r="R56" i="21"/>
  <c r="U56" i="21"/>
  <c r="W56" i="21"/>
  <c r="O124" i="21"/>
  <c r="R124" i="21"/>
  <c r="K170" i="26"/>
  <c r="O74" i="21"/>
  <c r="R74" i="21"/>
  <c r="U74" i="21"/>
  <c r="W74" i="21"/>
  <c r="O68" i="21"/>
  <c r="R68" i="21"/>
  <c r="W68" i="21"/>
  <c r="U68" i="21"/>
  <c r="O117" i="21"/>
  <c r="R117" i="21"/>
  <c r="O104" i="21"/>
  <c r="R104" i="21"/>
  <c r="O101" i="21"/>
  <c r="R101" i="21"/>
  <c r="K222" i="26"/>
  <c r="O87" i="21"/>
  <c r="R87" i="21"/>
  <c r="U87" i="21"/>
  <c r="W87" i="21"/>
  <c r="O107" i="21"/>
  <c r="R107" i="21"/>
  <c r="O120" i="21"/>
  <c r="R120" i="21"/>
  <c r="O85" i="21"/>
  <c r="R85" i="21"/>
  <c r="U85" i="21"/>
  <c r="W85" i="21"/>
  <c r="O67" i="21"/>
  <c r="R67" i="21"/>
  <c r="U67" i="21"/>
  <c r="W67" i="21"/>
  <c r="O115" i="21"/>
  <c r="R115" i="21"/>
  <c r="O77" i="21"/>
  <c r="R77" i="21"/>
  <c r="U77" i="21"/>
  <c r="W77" i="21"/>
  <c r="O121" i="21"/>
  <c r="R121" i="21"/>
  <c r="K211" i="26"/>
  <c r="K120" i="26"/>
  <c r="K114" i="26"/>
  <c r="O110" i="21"/>
  <c r="R110" i="21"/>
  <c r="O91" i="21"/>
  <c r="R91" i="21"/>
  <c r="W91" i="21"/>
  <c r="U91" i="21"/>
  <c r="K177" i="26"/>
  <c r="O76" i="21"/>
  <c r="R76" i="21"/>
  <c r="W76" i="21"/>
  <c r="U76" i="21"/>
  <c r="K219" i="26"/>
  <c r="K199" i="26"/>
  <c r="O63" i="21"/>
  <c r="R63" i="21"/>
  <c r="W63" i="21"/>
  <c r="U63" i="21"/>
  <c r="K144" i="26"/>
  <c r="O126" i="21"/>
  <c r="R126" i="21"/>
  <c r="O105" i="21"/>
  <c r="R105" i="21"/>
  <c r="O100" i="21"/>
  <c r="R100" i="21"/>
  <c r="K181" i="26"/>
  <c r="O60" i="21"/>
  <c r="R60" i="21"/>
  <c r="W60" i="21"/>
  <c r="U60" i="21"/>
  <c r="O106" i="21"/>
  <c r="R106" i="21"/>
  <c r="O58" i="21"/>
  <c r="R58" i="21"/>
  <c r="U58" i="21"/>
  <c r="W58" i="21"/>
  <c r="O125" i="21"/>
  <c r="R125" i="21"/>
  <c r="K198" i="26"/>
  <c r="O112" i="21"/>
  <c r="R112" i="21"/>
  <c r="K169" i="26"/>
  <c r="K218" i="26"/>
  <c r="K162" i="26"/>
  <c r="O111" i="21"/>
  <c r="R111" i="21"/>
  <c r="O61" i="21"/>
  <c r="R61" i="21"/>
  <c r="U61" i="21"/>
  <c r="W61" i="21"/>
  <c r="O55" i="21"/>
  <c r="R55" i="21"/>
  <c r="U55" i="21"/>
  <c r="W55" i="21"/>
  <c r="O81" i="21"/>
  <c r="R81" i="21"/>
  <c r="U81" i="21"/>
  <c r="W81" i="21"/>
  <c r="K158" i="26"/>
  <c r="K214" i="26"/>
  <c r="K156" i="26"/>
  <c r="K167" i="26"/>
  <c r="O99" i="21"/>
  <c r="R99" i="21"/>
  <c r="K209" i="26"/>
  <c r="O118" i="21"/>
  <c r="R118" i="21"/>
  <c r="O108" i="21"/>
  <c r="R108" i="21"/>
  <c r="K194" i="26"/>
  <c r="K160" i="26"/>
  <c r="K187" i="26"/>
  <c r="O113" i="21"/>
  <c r="R113" i="21"/>
  <c r="K223" i="26"/>
  <c r="O72" i="21"/>
  <c r="R72" i="21"/>
  <c r="W72" i="21"/>
  <c r="U72" i="21"/>
  <c r="K185" i="26"/>
  <c r="K154" i="26"/>
  <c r="K171" i="26"/>
  <c r="O65" i="21"/>
  <c r="R65" i="21"/>
  <c r="U65" i="21"/>
  <c r="W65" i="21"/>
  <c r="O103" i="21"/>
  <c r="R103" i="21"/>
  <c r="K137" i="26"/>
  <c r="O94" i="21"/>
  <c r="R94" i="21"/>
  <c r="W94" i="21"/>
  <c r="U94" i="21"/>
  <c r="O70" i="21"/>
  <c r="R70" i="21"/>
  <c r="W70" i="21"/>
  <c r="U70" i="21"/>
  <c r="K128" i="26"/>
  <c r="O84" i="21"/>
  <c r="R84" i="21"/>
  <c r="U84" i="21"/>
  <c r="W84" i="21"/>
  <c r="K110" i="26"/>
  <c r="O57" i="21"/>
  <c r="R57" i="21"/>
  <c r="U57" i="21"/>
  <c r="W57" i="21"/>
  <c r="O92" i="21"/>
  <c r="R92" i="21"/>
  <c r="W92" i="21"/>
  <c r="U92" i="21"/>
  <c r="O78" i="21"/>
  <c r="R78" i="21"/>
  <c r="W78" i="21"/>
  <c r="U78" i="21"/>
  <c r="K213" i="26"/>
  <c r="O102" i="21"/>
  <c r="R102" i="21"/>
  <c r="O82" i="21"/>
  <c r="R82" i="21"/>
  <c r="W82" i="21"/>
  <c r="U82" i="21"/>
  <c r="O79" i="21"/>
  <c r="R79" i="21"/>
  <c r="W79" i="21"/>
  <c r="U79" i="21"/>
  <c r="K174" i="26"/>
  <c r="K133" i="26"/>
  <c r="K164" i="26"/>
  <c r="K188" i="26"/>
  <c r="K186" i="26"/>
  <c r="O75" i="21"/>
  <c r="R75" i="21"/>
  <c r="W75" i="21"/>
  <c r="U75" i="21"/>
  <c r="O95" i="21"/>
  <c r="R95" i="21"/>
  <c r="W95" i="21"/>
  <c r="K147" i="26"/>
  <c r="O69" i="21"/>
  <c r="R69" i="21"/>
  <c r="U69" i="21"/>
  <c r="W69" i="21"/>
  <c r="O86" i="21"/>
  <c r="R86" i="21"/>
  <c r="W86" i="21"/>
  <c r="U86" i="21"/>
  <c r="O90" i="21"/>
  <c r="R90" i="21"/>
  <c r="W90" i="21"/>
  <c r="U90" i="21"/>
  <c r="K175" i="26"/>
  <c r="K78" i="26"/>
  <c r="K148" i="26"/>
  <c r="K202" i="26"/>
  <c r="K184" i="26"/>
  <c r="K157" i="26"/>
  <c r="U96" i="21"/>
  <c r="AH97" i="21"/>
  <c r="AG97" i="21"/>
  <c r="AF97" i="21"/>
  <c r="AE97" i="21"/>
  <c r="AC97" i="21"/>
  <c r="Y98" i="21"/>
  <c r="Z98" i="21"/>
  <c r="X98" i="21"/>
  <c r="AB98" i="21"/>
  <c r="L98" i="21"/>
  <c r="M98" i="21"/>
  <c r="N98" i="21"/>
  <c r="K98" i="21"/>
  <c r="I98" i="21"/>
  <c r="G98" i="21"/>
  <c r="F98" i="21"/>
  <c r="A99" i="21"/>
  <c r="D98" i="21"/>
  <c r="AD98" i="21" s="1"/>
  <c r="E98" i="21"/>
  <c r="C98" i="21"/>
  <c r="B98" i="21"/>
  <c r="F194" i="7" l="1"/>
  <c r="G194" i="7" s="1"/>
  <c r="A194" i="7"/>
  <c r="H195" i="7"/>
  <c r="C194" i="7"/>
  <c r="G131" i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A130" i="1"/>
  <c r="B130" i="1"/>
  <c r="E130" i="1"/>
  <c r="F130" i="1" s="1"/>
  <c r="W97" i="21"/>
  <c r="U97" i="21"/>
  <c r="W98" i="21"/>
  <c r="AH98" i="21"/>
  <c r="AG98" i="21"/>
  <c r="AF98" i="21"/>
  <c r="AE98" i="21"/>
  <c r="AC98" i="21"/>
  <c r="Y99" i="21"/>
  <c r="Z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F195" i="7" l="1"/>
  <c r="G195" i="7" s="1"/>
  <c r="H196" i="7"/>
  <c r="A195" i="7"/>
  <c r="C195" i="7"/>
  <c r="I13" i="25"/>
  <c r="J25" i="25"/>
  <c r="I22" i="25"/>
  <c r="J30" i="25"/>
  <c r="I45" i="25"/>
  <c r="J42" i="25"/>
  <c r="J27" i="25"/>
  <c r="I20" i="25"/>
  <c r="I26" i="25"/>
  <c r="J37" i="25"/>
  <c r="I30" i="25"/>
  <c r="I62" i="25"/>
  <c r="J48" i="25"/>
  <c r="J6" i="25"/>
  <c r="I18" i="25"/>
  <c r="I43" i="25"/>
  <c r="I71" i="25"/>
  <c r="I6" i="25"/>
  <c r="I44" i="25"/>
  <c r="J16" i="25"/>
  <c r="I68" i="25"/>
  <c r="J70" i="25"/>
  <c r="J28" i="25"/>
  <c r="J53" i="25"/>
  <c r="I34" i="25"/>
  <c r="J45" i="25"/>
  <c r="J7" i="25"/>
  <c r="J8" i="25"/>
  <c r="I9" i="25"/>
  <c r="J34" i="25"/>
  <c r="J57" i="25"/>
  <c r="I28" i="25"/>
  <c r="J63" i="25"/>
  <c r="I33" i="25"/>
  <c r="I12" i="25"/>
  <c r="J71" i="25"/>
  <c r="K71" i="25" s="1"/>
  <c r="I37" i="25"/>
  <c r="J19" i="25"/>
  <c r="I47" i="25"/>
  <c r="I5" i="25"/>
  <c r="I24" i="25"/>
  <c r="J52" i="25"/>
  <c r="J22" i="25"/>
  <c r="J20" i="25"/>
  <c r="K20" i="25" s="1"/>
  <c r="I38" i="25"/>
  <c r="J21" i="25"/>
  <c r="I59" i="25"/>
  <c r="J67" i="25"/>
  <c r="J36" i="25"/>
  <c r="J14" i="25"/>
  <c r="I39" i="25"/>
  <c r="J24" i="25"/>
  <c r="K24" i="25" s="1"/>
  <c r="J50" i="25"/>
  <c r="J58" i="25"/>
  <c r="J68" i="25"/>
  <c r="J10" i="25"/>
  <c r="J9" i="25"/>
  <c r="J15" i="25"/>
  <c r="J44" i="25"/>
  <c r="K44" i="25" s="1"/>
  <c r="J18" i="25"/>
  <c r="K18" i="25" s="1"/>
  <c r="I69" i="25"/>
  <c r="I49" i="25"/>
  <c r="J69" i="25"/>
  <c r="I36" i="25"/>
  <c r="I21" i="25"/>
  <c r="J38" i="25"/>
  <c r="J12" i="25"/>
  <c r="K12" i="25" s="1"/>
  <c r="J5" i="25"/>
  <c r="K5" i="25" s="1"/>
  <c r="I53" i="25"/>
  <c r="I27" i="25"/>
  <c r="I10" i="25"/>
  <c r="J51" i="25"/>
  <c r="I46" i="25"/>
  <c r="J49" i="25"/>
  <c r="J60" i="25"/>
  <c r="J26" i="25"/>
  <c r="K26" i="25" s="1"/>
  <c r="J41" i="25"/>
  <c r="I56" i="25"/>
  <c r="I52" i="25"/>
  <c r="I58" i="25"/>
  <c r="I17" i="25"/>
  <c r="J35" i="25"/>
  <c r="J23" i="25"/>
  <c r="I25" i="25"/>
  <c r="J62" i="25"/>
  <c r="J4" i="25"/>
  <c r="I55" i="25"/>
  <c r="J40" i="25"/>
  <c r="I15" i="25"/>
  <c r="J55" i="25"/>
  <c r="I11" i="25"/>
  <c r="J66" i="25"/>
  <c r="I40" i="25"/>
  <c r="J39" i="25"/>
  <c r="J13" i="25"/>
  <c r="I32" i="25"/>
  <c r="I50" i="25"/>
  <c r="J11" i="25"/>
  <c r="I31" i="25"/>
  <c r="J64" i="25"/>
  <c r="J31" i="25"/>
  <c r="I51" i="25"/>
  <c r="I19" i="25"/>
  <c r="I66" i="25"/>
  <c r="J32" i="25"/>
  <c r="I23" i="25"/>
  <c r="I70" i="25"/>
  <c r="I14" i="25"/>
  <c r="J33" i="25"/>
  <c r="J59" i="25"/>
  <c r="I42" i="25"/>
  <c r="J65" i="25"/>
  <c r="I65" i="25"/>
  <c r="I4" i="25"/>
  <c r="I48" i="25"/>
  <c r="I7" i="25"/>
  <c r="J54" i="25"/>
  <c r="J43" i="25"/>
  <c r="I41" i="25"/>
  <c r="I8" i="25"/>
  <c r="I61" i="25"/>
  <c r="I35" i="25"/>
  <c r="J56" i="25"/>
  <c r="J47" i="25"/>
  <c r="K47" i="25" s="1"/>
  <c r="I60" i="25"/>
  <c r="J29" i="25"/>
  <c r="J17" i="25"/>
  <c r="I57" i="25"/>
  <c r="J61" i="25"/>
  <c r="K61" i="25" s="1"/>
  <c r="I63" i="25"/>
  <c r="I64" i="25"/>
  <c r="I29" i="25"/>
  <c r="I16" i="25"/>
  <c r="I54" i="25"/>
  <c r="I67" i="25"/>
  <c r="J46" i="25"/>
  <c r="U98" i="21"/>
  <c r="AB100" i="21"/>
  <c r="Y100" i="21"/>
  <c r="Z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A101" i="21"/>
  <c r="E100" i="21"/>
  <c r="D100" i="21"/>
  <c r="AD100" i="21" s="1"/>
  <c r="C100" i="21"/>
  <c r="B100" i="21"/>
  <c r="H197" i="7" l="1"/>
  <c r="F196" i="7"/>
  <c r="G196" i="7" s="1"/>
  <c r="A196" i="7"/>
  <c r="C196" i="7"/>
  <c r="K64" i="25"/>
  <c r="K10" i="25"/>
  <c r="K67" i="25"/>
  <c r="K30" i="25"/>
  <c r="K16" i="25"/>
  <c r="K23" i="25"/>
  <c r="K66" i="25"/>
  <c r="K8" i="25"/>
  <c r="K60" i="25"/>
  <c r="K29" i="25"/>
  <c r="K43" i="25"/>
  <c r="K59" i="25"/>
  <c r="K39" i="25"/>
  <c r="K55" i="25"/>
  <c r="K4" i="25"/>
  <c r="K38" i="25"/>
  <c r="K15" i="25"/>
  <c r="K58" i="25"/>
  <c r="K21" i="25"/>
  <c r="K52" i="25"/>
  <c r="K19" i="25"/>
  <c r="K34" i="25"/>
  <c r="K45" i="25"/>
  <c r="K70" i="25"/>
  <c r="K6" i="25"/>
  <c r="K37" i="25"/>
  <c r="K42" i="25"/>
  <c r="K32" i="25"/>
  <c r="K41" i="25"/>
  <c r="K50" i="25"/>
  <c r="K36" i="25"/>
  <c r="K11" i="25"/>
  <c r="K49" i="25"/>
  <c r="K14" i="25"/>
  <c r="K25" i="25"/>
  <c r="K56" i="25"/>
  <c r="K22" i="25"/>
  <c r="K35" i="25"/>
  <c r="K9" i="25"/>
  <c r="K46" i="25"/>
  <c r="K7" i="25"/>
  <c r="K63" i="25"/>
  <c r="K65" i="25"/>
  <c r="K40" i="25"/>
  <c r="K51" i="25"/>
  <c r="K53" i="25"/>
  <c r="K17" i="25"/>
  <c r="K13" i="25"/>
  <c r="K69" i="25"/>
  <c r="K68" i="25"/>
  <c r="K57" i="25"/>
  <c r="K28" i="25"/>
  <c r="K27" i="25"/>
  <c r="K54" i="25"/>
  <c r="K33" i="25"/>
  <c r="K31" i="25"/>
  <c r="K62" i="25"/>
  <c r="K48" i="25"/>
  <c r="U99" i="21"/>
  <c r="W99" i="21"/>
  <c r="U100" i="21"/>
  <c r="AH100" i="21"/>
  <c r="AG100" i="21"/>
  <c r="AF100" i="21"/>
  <c r="AE100" i="21"/>
  <c r="AC100" i="21"/>
  <c r="X101" i="21"/>
  <c r="AB101" i="21"/>
  <c r="Y101" i="21"/>
  <c r="Z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H198" i="7" l="1"/>
  <c r="C197" i="7"/>
  <c r="F197" i="7"/>
  <c r="G197" i="7" s="1"/>
  <c r="A197" i="7"/>
  <c r="W100" i="21"/>
  <c r="U101" i="21"/>
  <c r="Y102" i="21"/>
  <c r="Z102" i="21"/>
  <c r="X102" i="21"/>
  <c r="AB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H199" i="7" l="1"/>
  <c r="F198" i="7"/>
  <c r="G198" i="7" s="1"/>
  <c r="C198" i="7"/>
  <c r="A198" i="7"/>
  <c r="W101" i="21"/>
  <c r="AH102" i="21"/>
  <c r="AG102" i="21"/>
  <c r="AF102" i="21"/>
  <c r="AE102" i="21"/>
  <c r="AC102" i="21"/>
  <c r="X103" i="21"/>
  <c r="AB103" i="21"/>
  <c r="Y103" i="21"/>
  <c r="Z103" i="21"/>
  <c r="N103" i="21"/>
  <c r="L103" i="21"/>
  <c r="M103" i="21"/>
  <c r="I103" i="21"/>
  <c r="K103" i="21"/>
  <c r="F103" i="21"/>
  <c r="G103" i="21"/>
  <c r="E103" i="21"/>
  <c r="C103" i="21"/>
  <c r="B103" i="21"/>
  <c r="A104" i="21"/>
  <c r="D103" i="21"/>
  <c r="AD103" i="21" s="1"/>
  <c r="C199" i="7" l="1"/>
  <c r="H200" i="7"/>
  <c r="F199" i="7"/>
  <c r="G199" i="7" s="1"/>
  <c r="A199" i="7"/>
  <c r="U102" i="21"/>
  <c r="W102" i="21"/>
  <c r="AH103" i="21"/>
  <c r="AG103" i="21"/>
  <c r="AF103" i="21"/>
  <c r="AE103" i="21"/>
  <c r="AC103" i="21"/>
  <c r="X104" i="21"/>
  <c r="AB104" i="21"/>
  <c r="Y104" i="21"/>
  <c r="Z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C200" i="7" l="1"/>
  <c r="F200" i="7"/>
  <c r="G200" i="7" s="1"/>
  <c r="A200" i="7"/>
  <c r="H201" i="7"/>
  <c r="U104" i="21"/>
  <c r="X105" i="21"/>
  <c r="AB105" i="21"/>
  <c r="Y105" i="21"/>
  <c r="Z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C201" i="7" l="1"/>
  <c r="H202" i="7"/>
  <c r="F201" i="7"/>
  <c r="G201" i="7" s="1"/>
  <c r="A201" i="7"/>
  <c r="W104" i="21"/>
  <c r="AH105" i="21"/>
  <c r="AG105" i="21"/>
  <c r="AF105" i="21"/>
  <c r="AE105" i="21"/>
  <c r="AC105" i="21"/>
  <c r="Y106" i="21"/>
  <c r="Z106" i="21"/>
  <c r="X106" i="21"/>
  <c r="AB106" i="21"/>
  <c r="M106" i="21"/>
  <c r="N106" i="21"/>
  <c r="L106" i="21"/>
  <c r="K106" i="21"/>
  <c r="I106" i="21"/>
  <c r="G106" i="21"/>
  <c r="F106" i="21"/>
  <c r="A107" i="21"/>
  <c r="D106" i="21"/>
  <c r="AD106" i="21" s="1"/>
  <c r="B106" i="21"/>
  <c r="C106" i="21"/>
  <c r="E106" i="21"/>
  <c r="C202" i="7" l="1"/>
  <c r="F202" i="7"/>
  <c r="G202" i="7" s="1"/>
  <c r="A202" i="7"/>
  <c r="H203" i="7"/>
  <c r="U105" i="21"/>
  <c r="W105" i="21"/>
  <c r="W106" i="21"/>
  <c r="AH106" i="21"/>
  <c r="AG106" i="21"/>
  <c r="AF106" i="21"/>
  <c r="AE106" i="21"/>
  <c r="AC106" i="21"/>
  <c r="Y107" i="21"/>
  <c r="Z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H204" i="7" l="1"/>
  <c r="A203" i="7"/>
  <c r="F203" i="7"/>
  <c r="G203" i="7" s="1"/>
  <c r="C203" i="7"/>
  <c r="U106" i="21"/>
  <c r="W107" i="21"/>
  <c r="Y108" i="21"/>
  <c r="Z108" i="21"/>
  <c r="X108" i="21"/>
  <c r="AB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C204" i="7" l="1"/>
  <c r="A204" i="7"/>
  <c r="F204" i="7"/>
  <c r="G204" i="7" s="1"/>
  <c r="H205" i="7"/>
  <c r="U107" i="21"/>
  <c r="AH108" i="21"/>
  <c r="AG108" i="21"/>
  <c r="AF108" i="21"/>
  <c r="AE108" i="21"/>
  <c r="AC108" i="21"/>
  <c r="X109" i="21"/>
  <c r="AB109" i="21"/>
  <c r="Y109" i="21"/>
  <c r="Z109" i="21"/>
  <c r="N109" i="21"/>
  <c r="K109" i="21"/>
  <c r="M109" i="21"/>
  <c r="L109" i="21"/>
  <c r="I109" i="21"/>
  <c r="G109" i="21"/>
  <c r="F109" i="21"/>
  <c r="C109" i="21"/>
  <c r="E109" i="21"/>
  <c r="D109" i="21"/>
  <c r="AD109" i="21" s="1"/>
  <c r="B109" i="21"/>
  <c r="A110" i="21"/>
  <c r="A205" i="7" l="1"/>
  <c r="C205" i="7"/>
  <c r="F205" i="7"/>
  <c r="G205" i="7" s="1"/>
  <c r="H206" i="7"/>
  <c r="U108" i="21"/>
  <c r="W108" i="21"/>
  <c r="Y110" i="21"/>
  <c r="Z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A111" i="21"/>
  <c r="D110" i="21"/>
  <c r="AD110" i="21" s="1"/>
  <c r="C110" i="21"/>
  <c r="E110" i="21"/>
  <c r="B110" i="21"/>
  <c r="A206" i="7" l="1"/>
  <c r="C206" i="7"/>
  <c r="H207" i="7"/>
  <c r="F206" i="7"/>
  <c r="G206" i="7" s="1"/>
  <c r="W109" i="21"/>
  <c r="U109" i="21"/>
  <c r="AH110" i="21"/>
  <c r="AG110" i="21"/>
  <c r="AF110" i="21"/>
  <c r="AE110" i="21"/>
  <c r="AC110" i="21"/>
  <c r="Y111" i="21"/>
  <c r="Z111" i="21"/>
  <c r="X111" i="21"/>
  <c r="AB111" i="21"/>
  <c r="L111" i="21"/>
  <c r="M111" i="21"/>
  <c r="N111" i="21"/>
  <c r="K111" i="21"/>
  <c r="I111" i="21"/>
  <c r="G111" i="21"/>
  <c r="F111" i="21"/>
  <c r="E111" i="21"/>
  <c r="A112" i="21"/>
  <c r="D111" i="21"/>
  <c r="AD111" i="21" s="1"/>
  <c r="B111" i="21"/>
  <c r="C111" i="21"/>
  <c r="A207" i="7" l="1"/>
  <c r="F207" i="7"/>
  <c r="G207" i="7" s="1"/>
  <c r="H208" i="7"/>
  <c r="C207" i="7"/>
  <c r="U110" i="21"/>
  <c r="W110" i="21"/>
  <c r="U111" i="21"/>
  <c r="AH111" i="21"/>
  <c r="AG111" i="21"/>
  <c r="AF111" i="21"/>
  <c r="AE111" i="21"/>
  <c r="AC111" i="21"/>
  <c r="AB112" i="21"/>
  <c r="Y112" i="21"/>
  <c r="Z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A208" i="7" l="1"/>
  <c r="F208" i="7"/>
  <c r="G208" i="7" s="1"/>
  <c r="C208" i="7"/>
  <c r="H209" i="7"/>
  <c r="W111" i="21"/>
  <c r="U112" i="21"/>
  <c r="AH112" i="21"/>
  <c r="AG112" i="21"/>
  <c r="AF112" i="21"/>
  <c r="AE112" i="21"/>
  <c r="AC112" i="21"/>
  <c r="X113" i="21"/>
  <c r="AB113" i="21"/>
  <c r="Y113" i="21"/>
  <c r="Z113" i="21"/>
  <c r="L113" i="21"/>
  <c r="M113" i="21"/>
  <c r="N113" i="21"/>
  <c r="I113" i="21"/>
  <c r="K113" i="21"/>
  <c r="G113" i="21"/>
  <c r="F113" i="21"/>
  <c r="C113" i="21"/>
  <c r="A114" i="21"/>
  <c r="B113" i="21"/>
  <c r="E113" i="21"/>
  <c r="D113" i="21"/>
  <c r="AD113" i="21" s="1"/>
  <c r="F209" i="7" l="1"/>
  <c r="G209" i="7" s="1"/>
  <c r="A209" i="7"/>
  <c r="H210" i="7"/>
  <c r="C209" i="7"/>
  <c r="W112" i="21"/>
  <c r="AH113" i="21"/>
  <c r="AG113" i="21"/>
  <c r="AF113" i="21"/>
  <c r="AE113" i="21"/>
  <c r="AC113" i="21"/>
  <c r="Y114" i="21"/>
  <c r="Z114" i="21"/>
  <c r="X114" i="21"/>
  <c r="AB114" i="21"/>
  <c r="L114" i="21"/>
  <c r="M114" i="21"/>
  <c r="N114" i="21"/>
  <c r="I114" i="21"/>
  <c r="K114" i="21"/>
  <c r="G114" i="21"/>
  <c r="F114" i="21"/>
  <c r="A115" i="21"/>
  <c r="D114" i="21"/>
  <c r="AD114" i="21" s="1"/>
  <c r="B114" i="21"/>
  <c r="E114" i="21"/>
  <c r="C114" i="21"/>
  <c r="F210" i="7" l="1"/>
  <c r="G210" i="7" s="1"/>
  <c r="A210" i="7"/>
  <c r="H211" i="7"/>
  <c r="C210" i="7"/>
  <c r="W113" i="21"/>
  <c r="U113" i="21"/>
  <c r="W114" i="21"/>
  <c r="AH114" i="21"/>
  <c r="AG114" i="21"/>
  <c r="AF114" i="21"/>
  <c r="AE114" i="21"/>
  <c r="AC114" i="21"/>
  <c r="X115" i="21"/>
  <c r="AB115" i="21"/>
  <c r="Y115" i="21"/>
  <c r="Z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F211" i="7" l="1"/>
  <c r="G211" i="7" s="1"/>
  <c r="H212" i="7"/>
  <c r="A211" i="7"/>
  <c r="C211" i="7"/>
  <c r="U114" i="21"/>
  <c r="W115" i="21"/>
  <c r="X116" i="21"/>
  <c r="AB116" i="21"/>
  <c r="Y116" i="21"/>
  <c r="Z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A117" i="21"/>
  <c r="E116" i="21"/>
  <c r="D116" i="21"/>
  <c r="AD116" i="21" s="1"/>
  <c r="C116" i="21"/>
  <c r="B116" i="21"/>
  <c r="H213" i="7" l="1"/>
  <c r="F212" i="7"/>
  <c r="G212" i="7" s="1"/>
  <c r="A212" i="7"/>
  <c r="C212" i="7"/>
  <c r="U115" i="21"/>
  <c r="U116" i="21"/>
  <c r="AH116" i="21"/>
  <c r="AG116" i="21"/>
  <c r="AF116" i="21"/>
  <c r="AC116" i="21"/>
  <c r="AE116" i="21"/>
  <c r="X117" i="21"/>
  <c r="AB117" i="21"/>
  <c r="Y117" i="21"/>
  <c r="Z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H214" i="7" l="1"/>
  <c r="C213" i="7"/>
  <c r="A213" i="7"/>
  <c r="F213" i="7"/>
  <c r="G213" i="7" s="1"/>
  <c r="W116" i="21"/>
  <c r="Y118" i="21"/>
  <c r="Z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H215" i="7" l="1"/>
  <c r="F214" i="7"/>
  <c r="G214" i="7" s="1"/>
  <c r="C214" i="7"/>
  <c r="A214" i="7"/>
  <c r="AH118" i="21"/>
  <c r="AG118" i="21"/>
  <c r="AF118" i="21"/>
  <c r="AE118" i="21"/>
  <c r="AC118" i="21"/>
  <c r="Y119" i="21"/>
  <c r="Z119" i="21"/>
  <c r="X119" i="21"/>
  <c r="AB119" i="21"/>
  <c r="M119" i="21"/>
  <c r="N119" i="21"/>
  <c r="L119" i="21"/>
  <c r="K119" i="21"/>
  <c r="I119" i="21"/>
  <c r="F119" i="21"/>
  <c r="G119" i="21"/>
  <c r="E119" i="21"/>
  <c r="C119" i="21"/>
  <c r="D119" i="21"/>
  <c r="AD119" i="21" s="1"/>
  <c r="A120" i="21"/>
  <c r="B119" i="21"/>
  <c r="C215" i="7" l="1"/>
  <c r="H216" i="7"/>
  <c r="A215" i="7"/>
  <c r="F215" i="7"/>
  <c r="G215" i="7" s="1"/>
  <c r="U118" i="21"/>
  <c r="W118" i="21"/>
  <c r="U119" i="21"/>
  <c r="Y120" i="21"/>
  <c r="Z120" i="21"/>
  <c r="X120" i="21"/>
  <c r="AB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C216" i="7" l="1"/>
  <c r="F216" i="7"/>
  <c r="G216" i="7" s="1"/>
  <c r="H217" i="7"/>
  <c r="A216" i="7"/>
  <c r="W119" i="21"/>
  <c r="U120" i="21"/>
  <c r="X121" i="21"/>
  <c r="AB121" i="21"/>
  <c r="Y121" i="21"/>
  <c r="Z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C121" i="21"/>
  <c r="A122" i="21"/>
  <c r="E121" i="21"/>
  <c r="D121" i="21"/>
  <c r="AD121" i="21" s="1"/>
  <c r="B121" i="21"/>
  <c r="C217" i="7" l="1"/>
  <c r="H218" i="7"/>
  <c r="A217" i="7"/>
  <c r="F217" i="7"/>
  <c r="G217" i="7" s="1"/>
  <c r="W120" i="21"/>
  <c r="AH121" i="21"/>
  <c r="AG121" i="21"/>
  <c r="AF121" i="21"/>
  <c r="AE121" i="21"/>
  <c r="AC121" i="21"/>
  <c r="Y122" i="21"/>
  <c r="Z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C218" i="7" l="1"/>
  <c r="F218" i="7"/>
  <c r="G218" i="7" s="1"/>
  <c r="H219" i="7"/>
  <c r="A218" i="7"/>
  <c r="W121" i="21"/>
  <c r="U121" i="21"/>
  <c r="AH122" i="21"/>
  <c r="AG122" i="21"/>
  <c r="AF122" i="21"/>
  <c r="AE122" i="21"/>
  <c r="AC122" i="21"/>
  <c r="Y123" i="21"/>
  <c r="Z123" i="21"/>
  <c r="X123" i="21"/>
  <c r="AB123" i="21"/>
  <c r="L123" i="21"/>
  <c r="M123" i="21"/>
  <c r="N123" i="21"/>
  <c r="K123" i="21"/>
  <c r="I123" i="21"/>
  <c r="G123" i="21"/>
  <c r="F123" i="21"/>
  <c r="D123" i="21"/>
  <c r="AD123" i="21" s="1"/>
  <c r="C123" i="21"/>
  <c r="B123" i="21"/>
  <c r="A124" i="21"/>
  <c r="E123" i="21"/>
  <c r="H220" i="7" l="1"/>
  <c r="A219" i="7"/>
  <c r="C219" i="7"/>
  <c r="F219" i="7"/>
  <c r="G219" i="7" s="1"/>
  <c r="U122" i="21"/>
  <c r="W122" i="21"/>
  <c r="AB124" i="21"/>
  <c r="Y124" i="21"/>
  <c r="Z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A125" i="21"/>
  <c r="E124" i="21"/>
  <c r="D124" i="21"/>
  <c r="AD124" i="21" s="1"/>
  <c r="C124" i="21"/>
  <c r="B124" i="21"/>
  <c r="C220" i="7" l="1"/>
  <c r="A220" i="7"/>
  <c r="F220" i="7"/>
  <c r="G220" i="7" s="1"/>
  <c r="H221" i="7"/>
  <c r="U123" i="21"/>
  <c r="W123" i="21"/>
  <c r="AH124" i="21"/>
  <c r="AG124" i="21"/>
  <c r="AF124" i="21"/>
  <c r="AE124" i="21"/>
  <c r="AC124" i="21"/>
  <c r="X125" i="21"/>
  <c r="AB125" i="21"/>
  <c r="Y125" i="21"/>
  <c r="Z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A221" i="7" l="1"/>
  <c r="C221" i="7"/>
  <c r="F221" i="7"/>
  <c r="G221" i="7" s="1"/>
  <c r="H222" i="7"/>
  <c r="U124" i="21"/>
  <c r="W124" i="21"/>
  <c r="U125" i="21"/>
  <c r="Y126" i="21"/>
  <c r="Z126" i="21"/>
  <c r="X126" i="21"/>
  <c r="AB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A222" i="7" l="1"/>
  <c r="C222" i="7"/>
  <c r="F222" i="7"/>
  <c r="G222" i="7" s="1"/>
  <c r="H223" i="7"/>
  <c r="W125" i="21"/>
  <c r="AH126" i="21"/>
  <c r="AG126" i="21"/>
  <c r="AF126" i="21"/>
  <c r="AE126" i="21"/>
  <c r="AC126" i="21"/>
  <c r="X127" i="21"/>
  <c r="AB127" i="21"/>
  <c r="Y127" i="21"/>
  <c r="Z127" i="21"/>
  <c r="N127" i="21"/>
  <c r="L127" i="21"/>
  <c r="M127" i="21"/>
  <c r="I127" i="21"/>
  <c r="K127" i="21"/>
  <c r="F127" i="21"/>
  <c r="G127" i="21"/>
  <c r="E127" i="21"/>
  <c r="A128" i="21"/>
  <c r="C127" i="21"/>
  <c r="D127" i="21"/>
  <c r="B127" i="21"/>
  <c r="A223" i="7" l="1"/>
  <c r="F223" i="7"/>
  <c r="G223" i="7" s="1"/>
  <c r="H224" i="7"/>
  <c r="C223" i="7"/>
  <c r="AD127" i="21"/>
  <c r="AU127" i="21"/>
  <c r="AA127" i="21"/>
  <c r="AV128" i="21"/>
  <c r="AT128" i="21"/>
  <c r="U126" i="21"/>
  <c r="W126" i="21"/>
  <c r="AH127" i="21"/>
  <c r="AG127" i="21"/>
  <c r="AF127" i="21"/>
  <c r="AE127" i="21"/>
  <c r="AC127" i="21"/>
  <c r="X128" i="21"/>
  <c r="AB128" i="21"/>
  <c r="Y128" i="21"/>
  <c r="Z128" i="21"/>
  <c r="M128" i="21"/>
  <c r="N128" i="21"/>
  <c r="L128" i="21"/>
  <c r="I128" i="21"/>
  <c r="K128" i="21"/>
  <c r="F128" i="21"/>
  <c r="G128" i="21"/>
  <c r="A129" i="21"/>
  <c r="E128" i="21"/>
  <c r="C128" i="21"/>
  <c r="D128" i="21"/>
  <c r="AA128" i="21" s="1"/>
  <c r="B128" i="21"/>
  <c r="A224" i="7" l="1"/>
  <c r="F224" i="7"/>
  <c r="G224" i="7" s="1"/>
  <c r="C224" i="7"/>
  <c r="H225" i="7"/>
  <c r="D18" i="13"/>
  <c r="W127" i="21"/>
  <c r="R128" i="21"/>
  <c r="O128" i="21"/>
  <c r="AV129" i="21"/>
  <c r="AT129" i="21"/>
  <c r="AA129" i="21"/>
  <c r="O129" i="21" s="1"/>
  <c r="O127" i="21"/>
  <c r="R127" i="21"/>
  <c r="AD128" i="21"/>
  <c r="AU128" i="21"/>
  <c r="U127" i="21"/>
  <c r="W128" i="21"/>
  <c r="AH128" i="21"/>
  <c r="AG128" i="21"/>
  <c r="AF128" i="21"/>
  <c r="AC128" i="21"/>
  <c r="AE128" i="21"/>
  <c r="X129" i="21"/>
  <c r="AB129" i="21"/>
  <c r="Y129" i="21"/>
  <c r="Z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F225" i="7" l="1"/>
  <c r="G225" i="7" s="1"/>
  <c r="C225" i="7"/>
  <c r="A225" i="7"/>
  <c r="H226" i="7"/>
  <c r="D9" i="13"/>
  <c r="D21" i="13"/>
  <c r="AV130" i="21"/>
  <c r="AT130" i="21"/>
  <c r="R129" i="21"/>
  <c r="D24" i="13" s="1"/>
  <c r="AD129" i="21"/>
  <c r="AU129" i="21"/>
  <c r="U128" i="21"/>
  <c r="U129" i="21"/>
  <c r="AH129" i="21"/>
  <c r="AG129" i="21"/>
  <c r="AF129" i="21"/>
  <c r="AE129" i="21"/>
  <c r="AC129" i="21"/>
  <c r="Y130" i="21"/>
  <c r="Z130" i="21"/>
  <c r="X130" i="21"/>
  <c r="AB130" i="21"/>
  <c r="M130" i="21"/>
  <c r="N130" i="21"/>
  <c r="L130" i="21"/>
  <c r="I130" i="21"/>
  <c r="K130" i="21"/>
  <c r="F130" i="21"/>
  <c r="G130" i="21"/>
  <c r="A131" i="21"/>
  <c r="D130" i="21"/>
  <c r="AA130" i="21" s="1"/>
  <c r="B130" i="21"/>
  <c r="E130" i="21"/>
  <c r="C130" i="21"/>
  <c r="F226" i="7" l="1"/>
  <c r="G226" i="7" s="1"/>
  <c r="A226" i="7"/>
  <c r="H227" i="7"/>
  <c r="C226" i="7"/>
  <c r="D15" i="13"/>
  <c r="O130" i="21"/>
  <c r="R130" i="21"/>
  <c r="AD130" i="21"/>
  <c r="AU130" i="21"/>
  <c r="AV131" i="21"/>
  <c r="AT131" i="21"/>
  <c r="W129" i="21"/>
  <c r="D12" i="13" s="1"/>
  <c r="W130" i="21"/>
  <c r="AH130" i="21"/>
  <c r="AG130" i="21"/>
  <c r="AF130" i="21"/>
  <c r="AE130" i="21"/>
  <c r="AC130" i="21"/>
  <c r="Y131" i="21"/>
  <c r="Z131" i="21"/>
  <c r="X131" i="21"/>
  <c r="AB131" i="21"/>
  <c r="M131" i="21"/>
  <c r="N131" i="21"/>
  <c r="L131" i="21"/>
  <c r="I131" i="21"/>
  <c r="K131" i="21"/>
  <c r="F131" i="21"/>
  <c r="G131" i="21"/>
  <c r="D131" i="21"/>
  <c r="AA131" i="21" s="1"/>
  <c r="C131" i="21"/>
  <c r="B131" i="21"/>
  <c r="A132" i="21"/>
  <c r="E131" i="21"/>
  <c r="F227" i="7" l="1"/>
  <c r="G227" i="7" s="1"/>
  <c r="H228" i="7"/>
  <c r="C227" i="7"/>
  <c r="A227" i="7"/>
  <c r="R131" i="21"/>
  <c r="O131" i="21"/>
  <c r="AV132" i="21"/>
  <c r="AT132" i="21"/>
  <c r="AD131" i="21"/>
  <c r="AU131" i="21"/>
  <c r="U130" i="21"/>
  <c r="W131" i="21"/>
  <c r="Y132" i="21"/>
  <c r="Z132" i="21"/>
  <c r="X132" i="21"/>
  <c r="AB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C132" i="21"/>
  <c r="B132" i="21"/>
  <c r="H229" i="7" l="1"/>
  <c r="F228" i="7"/>
  <c r="G228" i="7" s="1"/>
  <c r="A228" i="7"/>
  <c r="C228" i="7"/>
  <c r="AD132" i="21"/>
  <c r="AU132" i="21"/>
  <c r="AA132" i="21"/>
  <c r="AV133" i="21"/>
  <c r="AT133" i="21"/>
  <c r="U131" i="21"/>
  <c r="AH132" i="21"/>
  <c r="AG132" i="21"/>
  <c r="AF132" i="21"/>
  <c r="AE132" i="21"/>
  <c r="AC132" i="21"/>
  <c r="X133" i="21"/>
  <c r="AB133" i="21"/>
  <c r="Y133" i="21"/>
  <c r="Z133" i="21"/>
  <c r="N133" i="21"/>
  <c r="K133" i="21"/>
  <c r="M133" i="21"/>
  <c r="L133" i="21"/>
  <c r="I133" i="21"/>
  <c r="G133" i="21"/>
  <c r="F133" i="21"/>
  <c r="C133" i="21"/>
  <c r="E133" i="21"/>
  <c r="D133" i="21"/>
  <c r="AA133" i="21" s="1"/>
  <c r="B133" i="21"/>
  <c r="A134" i="21"/>
  <c r="H230" i="7" l="1"/>
  <c r="C229" i="7"/>
  <c r="A229" i="7"/>
  <c r="F229" i="7"/>
  <c r="G229" i="7" s="1"/>
  <c r="O133" i="21"/>
  <c r="R133" i="21"/>
  <c r="O132" i="21"/>
  <c r="R132" i="21"/>
  <c r="AD133" i="21"/>
  <c r="AU133" i="21"/>
  <c r="W132" i="21"/>
  <c r="AV134" i="21"/>
  <c r="AA134" i="21"/>
  <c r="O134" i="21" s="1"/>
  <c r="AT134" i="21"/>
  <c r="U132" i="21"/>
  <c r="Y134" i="21"/>
  <c r="Z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A135" i="21"/>
  <c r="D134" i="21"/>
  <c r="C134" i="21"/>
  <c r="E134" i="21"/>
  <c r="B134" i="21"/>
  <c r="H231" i="7" l="1"/>
  <c r="F230" i="7"/>
  <c r="G230" i="7" s="1"/>
  <c r="C230" i="7"/>
  <c r="A230" i="7"/>
  <c r="AD134" i="21"/>
  <c r="AU134" i="21"/>
  <c r="AV135" i="21"/>
  <c r="AT135" i="21"/>
  <c r="R134" i="21"/>
  <c r="W133" i="21"/>
  <c r="U133" i="21"/>
  <c r="AH134" i="21"/>
  <c r="AG134" i="21"/>
  <c r="AF134" i="21"/>
  <c r="AE134" i="21"/>
  <c r="AC134" i="21"/>
  <c r="Y135" i="21"/>
  <c r="Z135" i="21"/>
  <c r="X135" i="21"/>
  <c r="AB135" i="21"/>
  <c r="L135" i="21"/>
  <c r="M135" i="21"/>
  <c r="N135" i="21"/>
  <c r="K135" i="21"/>
  <c r="I135" i="21"/>
  <c r="G135" i="21"/>
  <c r="F135" i="21"/>
  <c r="E135" i="21"/>
  <c r="C135" i="21"/>
  <c r="D135" i="21"/>
  <c r="B135" i="21"/>
  <c r="A136" i="21"/>
  <c r="C231" i="7" l="1"/>
  <c r="F231" i="7"/>
  <c r="G231" i="7" s="1"/>
  <c r="A231" i="7"/>
  <c r="H232" i="7"/>
  <c r="AV136" i="21"/>
  <c r="AT136" i="21"/>
  <c r="AD135" i="21"/>
  <c r="AU135" i="21"/>
  <c r="AA135" i="21"/>
  <c r="U134" i="21"/>
  <c r="W134" i="21"/>
  <c r="AB136" i="21"/>
  <c r="Y136" i="21"/>
  <c r="Z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E136" i="21"/>
  <c r="A137" i="21"/>
  <c r="C136" i="21"/>
  <c r="B136" i="21"/>
  <c r="C232" i="7" l="1"/>
  <c r="F232" i="7"/>
  <c r="G232" i="7" s="1"/>
  <c r="A232" i="7"/>
  <c r="H233" i="7"/>
  <c r="R135" i="21"/>
  <c r="O135" i="21"/>
  <c r="AV137" i="21"/>
  <c r="AT137" i="21"/>
  <c r="AD136" i="21"/>
  <c r="AU136" i="21"/>
  <c r="AA136" i="21"/>
  <c r="W135" i="21"/>
  <c r="U135" i="21"/>
  <c r="X137" i="21"/>
  <c r="AB137" i="21"/>
  <c r="Y137" i="21"/>
  <c r="Z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C137" i="21"/>
  <c r="A138" i="21"/>
  <c r="D137" i="21"/>
  <c r="E137" i="21"/>
  <c r="B137" i="21"/>
  <c r="C233" i="7" l="1"/>
  <c r="H234" i="7"/>
  <c r="F233" i="7"/>
  <c r="G233" i="7" s="1"/>
  <c r="A233" i="7"/>
  <c r="AD137" i="21"/>
  <c r="AU137" i="21"/>
  <c r="AV138" i="21"/>
  <c r="AT138" i="21"/>
  <c r="AA137" i="21"/>
  <c r="W137" i="21" s="1"/>
  <c r="O136" i="21"/>
  <c r="R136" i="21"/>
  <c r="W136" i="21"/>
  <c r="U136" i="21"/>
  <c r="AH137" i="21"/>
  <c r="AG137" i="21"/>
  <c r="AF137" i="21"/>
  <c r="AE137" i="21"/>
  <c r="AC137" i="21"/>
  <c r="Y138" i="21"/>
  <c r="Z138" i="21"/>
  <c r="X138" i="21"/>
  <c r="AB138" i="21"/>
  <c r="L138" i="21"/>
  <c r="M138" i="21"/>
  <c r="N138" i="21"/>
  <c r="I138" i="21"/>
  <c r="K138" i="21"/>
  <c r="G138" i="21"/>
  <c r="F138" i="21"/>
  <c r="A139" i="21"/>
  <c r="D138" i="21"/>
  <c r="AA138" i="21" s="1"/>
  <c r="B138" i="21"/>
  <c r="E138" i="21"/>
  <c r="C138" i="21"/>
  <c r="C234" i="7" l="1"/>
  <c r="F234" i="7"/>
  <c r="G234" i="7" s="1"/>
  <c r="H235" i="7"/>
  <c r="A234" i="7"/>
  <c r="O138" i="21"/>
  <c r="R138" i="21"/>
  <c r="AV139" i="21"/>
  <c r="AT139" i="21"/>
  <c r="O137" i="21"/>
  <c r="R137" i="21"/>
  <c r="AD138" i="21"/>
  <c r="AU138" i="21"/>
  <c r="U137" i="21"/>
  <c r="AH138" i="21"/>
  <c r="AG138" i="21"/>
  <c r="AF138" i="21"/>
  <c r="AE138" i="21"/>
  <c r="AC138" i="21"/>
  <c r="X139" i="21"/>
  <c r="AB139" i="21"/>
  <c r="Y139" i="21"/>
  <c r="Z139" i="21"/>
  <c r="N139" i="21"/>
  <c r="L139" i="21"/>
  <c r="M139" i="21"/>
  <c r="I139" i="21"/>
  <c r="K139" i="21"/>
  <c r="F139" i="21"/>
  <c r="G139" i="21"/>
  <c r="D139" i="21"/>
  <c r="C139" i="21"/>
  <c r="B139" i="21"/>
  <c r="A140" i="21"/>
  <c r="E139" i="21"/>
  <c r="H236" i="7" l="1"/>
  <c r="A235" i="7"/>
  <c r="F235" i="7"/>
  <c r="G235" i="7" s="1"/>
  <c r="C235" i="7"/>
  <c r="AV140" i="21"/>
  <c r="AA140" i="21"/>
  <c r="R140" i="21" s="1"/>
  <c r="AT140" i="21"/>
  <c r="AD139" i="21"/>
  <c r="AU139" i="21"/>
  <c r="AA139" i="21"/>
  <c r="U138" i="21"/>
  <c r="W138" i="21"/>
  <c r="X140" i="21"/>
  <c r="AB140" i="21"/>
  <c r="Y140" i="21"/>
  <c r="Z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C140" i="21"/>
  <c r="B140" i="21"/>
  <c r="C236" i="7" l="1"/>
  <c r="A236" i="7"/>
  <c r="F236" i="7"/>
  <c r="G236" i="7" s="1"/>
  <c r="H237" i="7"/>
  <c r="O139" i="21"/>
  <c r="R139" i="21"/>
  <c r="O140" i="21"/>
  <c r="AD140" i="21"/>
  <c r="AU140" i="21"/>
  <c r="AV141" i="21"/>
  <c r="AT141" i="21"/>
  <c r="U139" i="21"/>
  <c r="W139" i="21"/>
  <c r="AH140" i="21"/>
  <c r="AG140" i="21"/>
  <c r="AF140" i="21"/>
  <c r="AC140" i="21"/>
  <c r="AE140" i="21"/>
  <c r="X141" i="21"/>
  <c r="AB141" i="21"/>
  <c r="Y141" i="21"/>
  <c r="Z141" i="21"/>
  <c r="M141" i="21"/>
  <c r="N141" i="21"/>
  <c r="L141" i="21"/>
  <c r="I141" i="21"/>
  <c r="K141" i="21"/>
  <c r="G141" i="21"/>
  <c r="F141" i="21"/>
  <c r="C141" i="21"/>
  <c r="E141" i="21"/>
  <c r="D141" i="21"/>
  <c r="AA141" i="21" s="1"/>
  <c r="B141" i="21"/>
  <c r="A142" i="21"/>
  <c r="A237" i="7" l="1"/>
  <c r="H238" i="7"/>
  <c r="F237" i="7"/>
  <c r="G237" i="7" s="1"/>
  <c r="C237" i="7"/>
  <c r="R141" i="21"/>
  <c r="O141" i="21"/>
  <c r="AV142" i="21"/>
  <c r="AT142" i="21"/>
  <c r="AD141" i="21"/>
  <c r="AU141" i="21"/>
  <c r="U140" i="21"/>
  <c r="W140" i="21"/>
  <c r="Y142" i="21"/>
  <c r="Z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A143" i="21"/>
  <c r="D142" i="21"/>
  <c r="C142" i="21"/>
  <c r="E142" i="21"/>
  <c r="B142" i="21"/>
  <c r="A238" i="7" l="1"/>
  <c r="C238" i="7"/>
  <c r="H239" i="7"/>
  <c r="F238" i="7"/>
  <c r="G238" i="7" s="1"/>
  <c r="AD142" i="21"/>
  <c r="AU142" i="21"/>
  <c r="AA142" i="21"/>
  <c r="AV143" i="21"/>
  <c r="AT143" i="21"/>
  <c r="W141" i="21"/>
  <c r="U141" i="21"/>
  <c r="AH142" i="21"/>
  <c r="AG142" i="21"/>
  <c r="AF142" i="21"/>
  <c r="AE142" i="21"/>
  <c r="AC142" i="21"/>
  <c r="Y143" i="21"/>
  <c r="Z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A143" i="21" s="1"/>
  <c r="C143" i="21"/>
  <c r="B143" i="21"/>
  <c r="A239" i="7" l="1"/>
  <c r="F239" i="7"/>
  <c r="G239" i="7" s="1"/>
  <c r="C239" i="7"/>
  <c r="H240" i="7"/>
  <c r="O143" i="21"/>
  <c r="R143" i="21"/>
  <c r="AV144" i="21"/>
  <c r="AT144" i="21"/>
  <c r="O142" i="21"/>
  <c r="R142" i="21"/>
  <c r="AD143" i="21"/>
  <c r="AU143" i="21"/>
  <c r="W142" i="21"/>
  <c r="U142" i="21"/>
  <c r="W143" i="21"/>
  <c r="AH143" i="21"/>
  <c r="AG143" i="21"/>
  <c r="AF143" i="21"/>
  <c r="AE143" i="21"/>
  <c r="AC143" i="21"/>
  <c r="Y144" i="21"/>
  <c r="Z144" i="21"/>
  <c r="X144" i="21"/>
  <c r="AB144" i="21"/>
  <c r="M144" i="21"/>
  <c r="N144" i="21"/>
  <c r="L144" i="21"/>
  <c r="I144" i="21"/>
  <c r="K144" i="21"/>
  <c r="G144" i="21"/>
  <c r="F144" i="21"/>
  <c r="A145" i="21"/>
  <c r="E144" i="21"/>
  <c r="D144" i="21"/>
  <c r="C144" i="21"/>
  <c r="B144" i="21"/>
  <c r="A240" i="7" l="1"/>
  <c r="F240" i="7"/>
  <c r="G240" i="7" s="1"/>
  <c r="C240" i="7"/>
  <c r="H241" i="7"/>
  <c r="AD144" i="21"/>
  <c r="AU144" i="21"/>
  <c r="AV145" i="21"/>
  <c r="AT145" i="21"/>
  <c r="AA144" i="21"/>
  <c r="U143" i="21"/>
  <c r="AH144" i="21"/>
  <c r="AG144" i="21"/>
  <c r="AF144" i="21"/>
  <c r="AE144" i="21"/>
  <c r="AC144" i="21"/>
  <c r="X145" i="21"/>
  <c r="AB145" i="21"/>
  <c r="Y145" i="21"/>
  <c r="Z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A145" i="21" s="1"/>
  <c r="F241" i="7" l="1"/>
  <c r="G241" i="7" s="1"/>
  <c r="A241" i="7"/>
  <c r="H242" i="7"/>
  <c r="C241" i="7"/>
  <c r="R145" i="21"/>
  <c r="O145" i="21"/>
  <c r="O144" i="21"/>
  <c r="R144" i="21"/>
  <c r="AD145" i="21"/>
  <c r="AU145" i="21"/>
  <c r="AV146" i="21"/>
  <c r="AT146" i="21"/>
  <c r="U145" i="21"/>
  <c r="U144" i="21"/>
  <c r="W144" i="21"/>
  <c r="AH145" i="21"/>
  <c r="AG145" i="21"/>
  <c r="AF145" i="21"/>
  <c r="AE145" i="21"/>
  <c r="AC145" i="21"/>
  <c r="Y146" i="21"/>
  <c r="Z146" i="21"/>
  <c r="X146" i="21"/>
  <c r="AB146" i="21"/>
  <c r="L146" i="21"/>
  <c r="M146" i="21"/>
  <c r="N146" i="21"/>
  <c r="K146" i="21"/>
  <c r="I146" i="21"/>
  <c r="G146" i="21"/>
  <c r="F146" i="21"/>
  <c r="A147" i="21"/>
  <c r="D146" i="21"/>
  <c r="B146" i="21"/>
  <c r="C146" i="21"/>
  <c r="E146" i="21"/>
  <c r="F242" i="7" l="1"/>
  <c r="G242" i="7" s="1"/>
  <c r="A242" i="7"/>
  <c r="H243" i="7"/>
  <c r="C242" i="7"/>
  <c r="AD146" i="21"/>
  <c r="AU146" i="21"/>
  <c r="AA146" i="21"/>
  <c r="AV147" i="21"/>
  <c r="AT147" i="21"/>
  <c r="W145" i="21"/>
  <c r="AH146" i="21"/>
  <c r="AG146" i="21"/>
  <c r="AF146" i="21"/>
  <c r="AE146" i="21"/>
  <c r="AC146" i="21"/>
  <c r="Y147" i="21"/>
  <c r="Z147" i="21"/>
  <c r="X147" i="21"/>
  <c r="AB147" i="21"/>
  <c r="L147" i="21"/>
  <c r="M147" i="21"/>
  <c r="N147" i="21"/>
  <c r="K147" i="21"/>
  <c r="I147" i="21"/>
  <c r="G147" i="21"/>
  <c r="F147" i="21"/>
  <c r="B147" i="21"/>
  <c r="E147" i="21"/>
  <c r="D147" i="21"/>
  <c r="AA147" i="21" s="1"/>
  <c r="C147" i="21"/>
  <c r="A148" i="21"/>
  <c r="F243" i="7" l="1"/>
  <c r="G243" i="7" s="1"/>
  <c r="H244" i="7"/>
  <c r="A243" i="7"/>
  <c r="C243" i="7"/>
  <c r="R147" i="21"/>
  <c r="O147" i="21"/>
  <c r="AV148" i="21"/>
  <c r="AT148" i="21"/>
  <c r="AD147" i="21"/>
  <c r="AU147" i="21"/>
  <c r="R146" i="21"/>
  <c r="O146" i="21"/>
  <c r="U146" i="21"/>
  <c r="W146" i="21"/>
  <c r="AB148" i="21"/>
  <c r="Y148" i="21"/>
  <c r="Z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A148" i="21" s="1"/>
  <c r="B148" i="21"/>
  <c r="H245" i="7" l="1"/>
  <c r="F244" i="7"/>
  <c r="G244" i="7" s="1"/>
  <c r="A244" i="7"/>
  <c r="C244" i="7"/>
  <c r="R148" i="21"/>
  <c r="O148" i="21"/>
  <c r="AD148" i="21"/>
  <c r="AU148" i="21"/>
  <c r="AV149" i="21"/>
  <c r="AT149" i="21"/>
  <c r="AH148" i="21"/>
  <c r="AG148" i="21"/>
  <c r="AF148" i="21"/>
  <c r="AE148" i="21"/>
  <c r="AC148" i="21"/>
  <c r="X149" i="21"/>
  <c r="AB149" i="21"/>
  <c r="Y149" i="21"/>
  <c r="Z149" i="21"/>
  <c r="L149" i="21"/>
  <c r="M149" i="21"/>
  <c r="N149" i="21"/>
  <c r="I149" i="21"/>
  <c r="K149" i="21"/>
  <c r="G149" i="21"/>
  <c r="F149" i="21"/>
  <c r="E149" i="21"/>
  <c r="A150" i="21"/>
  <c r="D149" i="21"/>
  <c r="AA149" i="21" s="1"/>
  <c r="C149" i="21"/>
  <c r="B149" i="21"/>
  <c r="H246" i="7" l="1"/>
  <c r="C245" i="7"/>
  <c r="A245" i="7"/>
  <c r="F245" i="7"/>
  <c r="G245" i="7" s="1"/>
  <c r="R149" i="21"/>
  <c r="O149" i="21"/>
  <c r="AD149" i="21"/>
  <c r="AU149" i="21"/>
  <c r="AV150" i="21"/>
  <c r="AT150" i="21"/>
  <c r="AA150" i="21"/>
  <c r="R150" i="21" s="1"/>
  <c r="W148" i="21"/>
  <c r="U148" i="21"/>
  <c r="AH149" i="21"/>
  <c r="AG149" i="21"/>
  <c r="AF149" i="21"/>
  <c r="AE149" i="21"/>
  <c r="AC149" i="21"/>
  <c r="Y150" i="21"/>
  <c r="Z150" i="21"/>
  <c r="X150" i="21"/>
  <c r="AB150" i="21"/>
  <c r="L150" i="21"/>
  <c r="M150" i="21"/>
  <c r="N150" i="21"/>
  <c r="I150" i="21"/>
  <c r="K150" i="21"/>
  <c r="G150" i="21"/>
  <c r="F150" i="21"/>
  <c r="A151" i="21"/>
  <c r="D150" i="21"/>
  <c r="B150" i="21"/>
  <c r="E150" i="21"/>
  <c r="C150" i="21"/>
  <c r="H247" i="7" l="1"/>
  <c r="F246" i="7"/>
  <c r="G246" i="7" s="1"/>
  <c r="C246" i="7"/>
  <c r="A246" i="7"/>
  <c r="AV151" i="21"/>
  <c r="AT151" i="21"/>
  <c r="O150" i="21"/>
  <c r="AD150" i="21"/>
  <c r="AU150" i="21"/>
  <c r="U149" i="21"/>
  <c r="U150" i="21"/>
  <c r="W149" i="21"/>
  <c r="AH150" i="21"/>
  <c r="AG150" i="21"/>
  <c r="AF150" i="21"/>
  <c r="AE150" i="21"/>
  <c r="AC150" i="21"/>
  <c r="X151" i="21"/>
  <c r="AB151" i="21"/>
  <c r="Y151" i="21"/>
  <c r="Z151" i="21"/>
  <c r="N151" i="21"/>
  <c r="L151" i="21"/>
  <c r="M151" i="21"/>
  <c r="I151" i="21"/>
  <c r="K151" i="21"/>
  <c r="F151" i="21"/>
  <c r="G151" i="21"/>
  <c r="C151" i="21"/>
  <c r="B151" i="21"/>
  <c r="E151" i="21"/>
  <c r="D151" i="21"/>
  <c r="A152" i="21"/>
  <c r="C247" i="7" l="1"/>
  <c r="A247" i="7"/>
  <c r="H248" i="7"/>
  <c r="F247" i="7"/>
  <c r="G247" i="7" s="1"/>
  <c r="AV152" i="21"/>
  <c r="AT152" i="21"/>
  <c r="AD151" i="21"/>
  <c r="AU151" i="21"/>
  <c r="AA151" i="21"/>
  <c r="W150" i="21"/>
  <c r="X152" i="21"/>
  <c r="AB152" i="21"/>
  <c r="Y152" i="21"/>
  <c r="Z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B152" i="21"/>
  <c r="C248" i="7" l="1"/>
  <c r="F248" i="7"/>
  <c r="G248" i="7" s="1"/>
  <c r="A248" i="7"/>
  <c r="H249" i="7"/>
  <c r="O151" i="21"/>
  <c r="R151" i="21"/>
  <c r="AD152" i="21"/>
  <c r="AU152" i="21"/>
  <c r="AV153" i="21"/>
  <c r="AT153" i="21"/>
  <c r="W151" i="21"/>
  <c r="AA152" i="21"/>
  <c r="U152" i="21" s="1"/>
  <c r="U151" i="21"/>
  <c r="AH152" i="21"/>
  <c r="AG152" i="21"/>
  <c r="AF152" i="21"/>
  <c r="AC152" i="21"/>
  <c r="AE152" i="21"/>
  <c r="X153" i="21"/>
  <c r="AB153" i="21"/>
  <c r="Y153" i="21"/>
  <c r="Z153" i="21"/>
  <c r="M153" i="21"/>
  <c r="N153" i="21"/>
  <c r="L153" i="21"/>
  <c r="I153" i="21"/>
  <c r="K153" i="21"/>
  <c r="F153" i="21"/>
  <c r="G153" i="21"/>
  <c r="E153" i="21"/>
  <c r="C153" i="21"/>
  <c r="B153" i="21"/>
  <c r="A154" i="21"/>
  <c r="D153" i="21"/>
  <c r="AA153" i="21" s="1"/>
  <c r="C249" i="7" l="1"/>
  <c r="H250" i="7"/>
  <c r="A249" i="7"/>
  <c r="F249" i="7"/>
  <c r="G249" i="7" s="1"/>
  <c r="O153" i="21"/>
  <c r="R153" i="21"/>
  <c r="AV154" i="21"/>
  <c r="AT154" i="21"/>
  <c r="O152" i="21"/>
  <c r="R152" i="21"/>
  <c r="AD153" i="21"/>
  <c r="AU153" i="21"/>
  <c r="W152" i="21"/>
  <c r="W153" i="21"/>
  <c r="AH153" i="21"/>
  <c r="AG153" i="21"/>
  <c r="AF153" i="21"/>
  <c r="AE153" i="21"/>
  <c r="AC153" i="21"/>
  <c r="Y154" i="21"/>
  <c r="Z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A154" i="21" s="1"/>
  <c r="C250" i="7" l="1"/>
  <c r="F250" i="7"/>
  <c r="G250" i="7" s="1"/>
  <c r="A250" i="7"/>
  <c r="H251" i="7"/>
  <c r="O154" i="21"/>
  <c r="R154" i="21"/>
  <c r="AV155" i="21"/>
  <c r="AT155" i="21"/>
  <c r="AD154" i="21"/>
  <c r="AU154" i="21"/>
  <c r="U153" i="21"/>
  <c r="U154" i="21"/>
  <c r="AH154" i="21"/>
  <c r="AG154" i="21"/>
  <c r="AF154" i="21"/>
  <c r="AE154" i="21"/>
  <c r="AC154" i="21"/>
  <c r="Y155" i="21"/>
  <c r="Z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B155" i="21"/>
  <c r="H252" i="7" l="1"/>
  <c r="A251" i="7"/>
  <c r="C251" i="7"/>
  <c r="F251" i="7"/>
  <c r="G251" i="7" s="1"/>
  <c r="AD155" i="21"/>
  <c r="AU155" i="21"/>
  <c r="AA155" i="21"/>
  <c r="U155" i="21" s="1"/>
  <c r="AV156" i="21"/>
  <c r="AT156" i="21"/>
  <c r="AA156" i="21"/>
  <c r="O156" i="21" s="1"/>
  <c r="W154" i="21"/>
  <c r="AH155" i="21"/>
  <c r="AG155" i="21"/>
  <c r="AF155" i="21"/>
  <c r="AE155" i="21"/>
  <c r="AC155" i="21"/>
  <c r="Y156" i="21"/>
  <c r="Z156" i="21"/>
  <c r="X156" i="21"/>
  <c r="AB156" i="21"/>
  <c r="M156" i="21"/>
  <c r="N156" i="21"/>
  <c r="L156" i="21"/>
  <c r="I156" i="21"/>
  <c r="K156" i="21"/>
  <c r="F156" i="21"/>
  <c r="G156" i="21"/>
  <c r="A157" i="21"/>
  <c r="D156" i="21"/>
  <c r="B156" i="21"/>
  <c r="E156" i="21"/>
  <c r="C156" i="21"/>
  <c r="C252" i="7" l="1"/>
  <c r="A252" i="7"/>
  <c r="F252" i="7"/>
  <c r="G252" i="7" s="1"/>
  <c r="H253" i="7"/>
  <c r="W155" i="21"/>
  <c r="R156" i="21"/>
  <c r="AV157" i="21"/>
  <c r="AA157" i="21"/>
  <c r="R157" i="21" s="1"/>
  <c r="AT157" i="21"/>
  <c r="O155" i="21"/>
  <c r="R155" i="21"/>
  <c r="AD156" i="21"/>
  <c r="AU156" i="21"/>
  <c r="W156" i="21"/>
  <c r="AH156" i="21"/>
  <c r="AG156" i="21"/>
  <c r="AF156" i="21"/>
  <c r="AE156" i="21"/>
  <c r="AC156" i="21"/>
  <c r="X157" i="21"/>
  <c r="AB157" i="21"/>
  <c r="Y157" i="21"/>
  <c r="Z157" i="21"/>
  <c r="N157" i="21"/>
  <c r="K157" i="21"/>
  <c r="M157" i="21"/>
  <c r="L157" i="21"/>
  <c r="I157" i="21"/>
  <c r="G157" i="21"/>
  <c r="F157" i="21"/>
  <c r="E157" i="21"/>
  <c r="C157" i="21"/>
  <c r="A158" i="21"/>
  <c r="D157" i="21"/>
  <c r="B157" i="21"/>
  <c r="A253" i="7" l="1"/>
  <c r="C253" i="7"/>
  <c r="F253" i="7"/>
  <c r="G253" i="7" s="1"/>
  <c r="H254" i="7"/>
  <c r="O157" i="21"/>
  <c r="AD157" i="21"/>
  <c r="AU157" i="21"/>
  <c r="AV158" i="21"/>
  <c r="AT158" i="21"/>
  <c r="W157" i="21"/>
  <c r="U156" i="21"/>
  <c r="AH157" i="21"/>
  <c r="AG157" i="21"/>
  <c r="AF157" i="21"/>
  <c r="AE157" i="21"/>
  <c r="AC157" i="21"/>
  <c r="Y158" i="21"/>
  <c r="Z158" i="21"/>
  <c r="X158" i="21"/>
  <c r="AB158" i="21"/>
  <c r="L158" i="21"/>
  <c r="M158" i="21"/>
  <c r="N158" i="21"/>
  <c r="I158" i="21"/>
  <c r="G158" i="21"/>
  <c r="K158" i="21"/>
  <c r="F158" i="21"/>
  <c r="B158" i="21"/>
  <c r="E158" i="21"/>
  <c r="C158" i="21"/>
  <c r="D158" i="21"/>
  <c r="AA158" i="21" s="1"/>
  <c r="A159" i="21"/>
  <c r="A254" i="7" l="1"/>
  <c r="C254" i="7"/>
  <c r="H255" i="7"/>
  <c r="F254" i="7"/>
  <c r="G254" i="7" s="1"/>
  <c r="R158" i="21"/>
  <c r="O158" i="21"/>
  <c r="AV159" i="21"/>
  <c r="AT159" i="21"/>
  <c r="AD158" i="21"/>
  <c r="AU158" i="21"/>
  <c r="U157" i="21"/>
  <c r="U158" i="21"/>
  <c r="Y159" i="21"/>
  <c r="Z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C159" i="21"/>
  <c r="B159" i="21"/>
  <c r="A160" i="21"/>
  <c r="E159" i="21"/>
  <c r="A255" i="7" l="1"/>
  <c r="F255" i="7"/>
  <c r="G255" i="7" s="1"/>
  <c r="C255" i="7"/>
  <c r="H256" i="7"/>
  <c r="AD159" i="21"/>
  <c r="AU159" i="21"/>
  <c r="AA159" i="21"/>
  <c r="U159" i="21" s="1"/>
  <c r="AV160" i="21"/>
  <c r="AA160" i="21"/>
  <c r="R160" i="21" s="1"/>
  <c r="AT160" i="21"/>
  <c r="W158" i="21"/>
  <c r="AB160" i="21"/>
  <c r="Y160" i="21"/>
  <c r="Z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A161" i="21"/>
  <c r="D160" i="21"/>
  <c r="E160" i="21"/>
  <c r="C160" i="21"/>
  <c r="B160" i="21"/>
  <c r="A256" i="7" l="1"/>
  <c r="F256" i="7"/>
  <c r="G256" i="7" s="1"/>
  <c r="C256" i="7"/>
  <c r="H257" i="7"/>
  <c r="W159" i="21"/>
  <c r="O160" i="21"/>
  <c r="O159" i="21"/>
  <c r="R159" i="21"/>
  <c r="AD160" i="21"/>
  <c r="AU160" i="21"/>
  <c r="AV161" i="21"/>
  <c r="AT161" i="21"/>
  <c r="AH160" i="21"/>
  <c r="AG160" i="21"/>
  <c r="AF160" i="21"/>
  <c r="AE160" i="21"/>
  <c r="AC160" i="21"/>
  <c r="X161" i="21"/>
  <c r="AB161" i="21"/>
  <c r="Y161" i="21"/>
  <c r="Z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F257" i="7" l="1"/>
  <c r="G257" i="7" s="1"/>
  <c r="C257" i="7"/>
  <c r="A257" i="7"/>
  <c r="H258" i="7"/>
  <c r="AD161" i="21"/>
  <c r="AU161" i="21"/>
  <c r="AA161" i="21"/>
  <c r="AV162" i="21"/>
  <c r="AT162" i="21"/>
  <c r="AH161" i="21"/>
  <c r="AG161" i="21"/>
  <c r="AF161" i="21"/>
  <c r="AE161" i="21"/>
  <c r="AC161" i="21"/>
  <c r="Y162" i="21"/>
  <c r="Z162" i="21"/>
  <c r="X162" i="21"/>
  <c r="AB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A162" i="21" s="1"/>
  <c r="F258" i="7" l="1"/>
  <c r="G258" i="7" s="1"/>
  <c r="A258" i="7"/>
  <c r="C258" i="7"/>
  <c r="O162" i="21"/>
  <c r="R162" i="21"/>
  <c r="AD162" i="21"/>
  <c r="AU162" i="21"/>
  <c r="R161" i="21"/>
  <c r="O161" i="21"/>
  <c r="AV163" i="21"/>
  <c r="AT163" i="21"/>
  <c r="W161" i="21"/>
  <c r="U161" i="21"/>
  <c r="W162" i="21"/>
  <c r="AH162" i="21"/>
  <c r="AG162" i="21"/>
  <c r="AF162" i="21"/>
  <c r="AE162" i="21"/>
  <c r="AC162" i="21"/>
  <c r="X163" i="21"/>
  <c r="AB163" i="21"/>
  <c r="Y163" i="21"/>
  <c r="Z163" i="21"/>
  <c r="N163" i="21"/>
  <c r="L163" i="21"/>
  <c r="M163" i="21"/>
  <c r="I163" i="21"/>
  <c r="K163" i="21"/>
  <c r="F163" i="21"/>
  <c r="G163" i="21"/>
  <c r="A164" i="21"/>
  <c r="E163" i="21"/>
  <c r="D163" i="21"/>
  <c r="AA163" i="21" s="1"/>
  <c r="C163" i="21"/>
  <c r="B163" i="21"/>
  <c r="R163" i="21" l="1"/>
  <c r="O163" i="21"/>
  <c r="AD163" i="21"/>
  <c r="AU163" i="21"/>
  <c r="AV164" i="21"/>
  <c r="AA164" i="21"/>
  <c r="R164" i="21" s="1"/>
  <c r="AT164" i="21"/>
  <c r="U163" i="21"/>
  <c r="U162" i="21"/>
  <c r="AH163" i="21"/>
  <c r="AG163" i="21"/>
  <c r="AF163" i="21"/>
  <c r="AE163" i="21"/>
  <c r="AC163" i="21"/>
  <c r="X164" i="21"/>
  <c r="AB164" i="21"/>
  <c r="Y164" i="21"/>
  <c r="Z164" i="21"/>
  <c r="M164" i="21"/>
  <c r="N164" i="21"/>
  <c r="L164" i="21"/>
  <c r="I164" i="21"/>
  <c r="K164" i="21"/>
  <c r="F164" i="21"/>
  <c r="G164" i="21"/>
  <c r="A165" i="21"/>
  <c r="D164" i="21"/>
  <c r="B164" i="21"/>
  <c r="E164" i="21"/>
  <c r="C164" i="21"/>
  <c r="AD164" i="21" l="1"/>
  <c r="AU164" i="21"/>
  <c r="AV165" i="21"/>
  <c r="AT165" i="21"/>
  <c r="O164" i="21"/>
  <c r="W163" i="21"/>
  <c r="U164" i="21"/>
  <c r="AH164" i="21"/>
  <c r="AG164" i="21"/>
  <c r="AF164" i="21"/>
  <c r="AC164" i="21"/>
  <c r="AE164" i="21"/>
  <c r="X165" i="21"/>
  <c r="AB165" i="21"/>
  <c r="Y165" i="21"/>
  <c r="Z165" i="21"/>
  <c r="M165" i="21"/>
  <c r="N165" i="21"/>
  <c r="L165" i="21"/>
  <c r="I165" i="21"/>
  <c r="K165" i="21"/>
  <c r="F165" i="21"/>
  <c r="G165" i="21"/>
  <c r="E165" i="21"/>
  <c r="C165" i="21"/>
  <c r="A166" i="21"/>
  <c r="D165" i="21"/>
  <c r="AA165" i="21" s="1"/>
  <c r="B165" i="21"/>
  <c r="O165" i="21" l="1"/>
  <c r="R165" i="21"/>
  <c r="AV166" i="21"/>
  <c r="AT166" i="21"/>
  <c r="AD165" i="21"/>
  <c r="AU165" i="21"/>
  <c r="U165" i="21"/>
  <c r="W164" i="21"/>
  <c r="AH165" i="21"/>
  <c r="AG165" i="21"/>
  <c r="AF165" i="21"/>
  <c r="AE165" i="21"/>
  <c r="AC165" i="21"/>
  <c r="Y166" i="21"/>
  <c r="Z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l="1"/>
  <c r="AU166" i="21"/>
  <c r="AV167" i="21"/>
  <c r="AT167" i="21"/>
  <c r="AA166" i="21"/>
  <c r="W165" i="21"/>
  <c r="AH166" i="21"/>
  <c r="AG166" i="21"/>
  <c r="AF166" i="21"/>
  <c r="AE166" i="21"/>
  <c r="AC166" i="21"/>
  <c r="Y167" i="21"/>
  <c r="Z167" i="21"/>
  <c r="X167" i="21"/>
  <c r="AB167" i="21"/>
  <c r="M167" i="21"/>
  <c r="N167" i="21"/>
  <c r="L167" i="21"/>
  <c r="I167" i="21"/>
  <c r="K167" i="21"/>
  <c r="F167" i="21"/>
  <c r="G167" i="21"/>
  <c r="D167" i="21"/>
  <c r="AA167" i="21" s="1"/>
  <c r="C167" i="21"/>
  <c r="B167" i="21"/>
  <c r="A168" i="21"/>
  <c r="E167" i="21"/>
  <c r="R167" i="21" l="1"/>
  <c r="O167" i="21"/>
  <c r="AV168" i="21"/>
  <c r="AT168" i="21"/>
  <c r="R166" i="21"/>
  <c r="O166" i="21"/>
  <c r="AD167" i="21"/>
  <c r="AU167" i="21"/>
  <c r="W166" i="21"/>
  <c r="U166" i="21"/>
  <c r="W167" i="21"/>
  <c r="Y168" i="21"/>
  <c r="Z168" i="21"/>
  <c r="X168" i="21"/>
  <c r="AB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A169" i="21"/>
  <c r="D168" i="21"/>
  <c r="E168" i="21"/>
  <c r="C168" i="21"/>
  <c r="B168" i="21"/>
  <c r="AD168" i="21" l="1"/>
  <c r="AU168" i="21"/>
  <c r="AA168" i="21"/>
  <c r="AV169" i="21"/>
  <c r="AT169" i="21"/>
  <c r="AA169" i="21"/>
  <c r="O169" i="21" s="1"/>
  <c r="U167" i="21"/>
  <c r="AH168" i="21"/>
  <c r="AG168" i="21"/>
  <c r="AF168" i="21"/>
  <c r="AE168" i="21"/>
  <c r="AC168" i="21"/>
  <c r="X169" i="21"/>
  <c r="AB169" i="21"/>
  <c r="Y169" i="21"/>
  <c r="Z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R169" i="21" l="1"/>
  <c r="AD169" i="21"/>
  <c r="AU169" i="21"/>
  <c r="O168" i="21"/>
  <c r="R168" i="21"/>
  <c r="AV170" i="21"/>
  <c r="AT170" i="21"/>
  <c r="U168" i="21"/>
  <c r="W168" i="21"/>
  <c r="AH169" i="21"/>
  <c r="AG169" i="21"/>
  <c r="AF169" i="21"/>
  <c r="AE169" i="21"/>
  <c r="AC169" i="21"/>
  <c r="Y170" i="21"/>
  <c r="Z170" i="21"/>
  <c r="X170" i="21"/>
  <c r="AB170" i="21"/>
  <c r="L170" i="21"/>
  <c r="M170" i="21"/>
  <c r="N170" i="21"/>
  <c r="I170" i="21"/>
  <c r="K170" i="21"/>
  <c r="G170" i="21"/>
  <c r="F170" i="21"/>
  <c r="B170" i="21"/>
  <c r="C170" i="21"/>
  <c r="D170" i="21"/>
  <c r="AA170" i="21" s="1"/>
  <c r="E170" i="21"/>
  <c r="A171" i="21"/>
  <c r="O170" i="21" l="1"/>
  <c r="R170" i="21"/>
  <c r="AD170" i="21"/>
  <c r="AU170" i="21"/>
  <c r="AV171" i="21"/>
  <c r="AT171" i="21"/>
  <c r="U170" i="21"/>
  <c r="U169" i="21"/>
  <c r="W169" i="21"/>
  <c r="Y171" i="21"/>
  <c r="Z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E171" i="21"/>
  <c r="D171" i="21"/>
  <c r="AA171" i="21" s="1"/>
  <c r="C171" i="21"/>
  <c r="A172" i="21"/>
  <c r="B171" i="21"/>
  <c r="O171" i="21" l="1"/>
  <c r="R171" i="21"/>
  <c r="AV172" i="21"/>
  <c r="AT172" i="21"/>
  <c r="AD171" i="21"/>
  <c r="AU171" i="21"/>
  <c r="W170" i="21"/>
  <c r="U171" i="21"/>
  <c r="AB172" i="21"/>
  <c r="Y172" i="21"/>
  <c r="Z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E172" i="21"/>
  <c r="A173" i="21"/>
  <c r="D172" i="21"/>
  <c r="AA172" i="21" s="1"/>
  <c r="B172" i="21"/>
  <c r="C172" i="21"/>
  <c r="O172" i="21" l="1"/>
  <c r="R172" i="21"/>
  <c r="AD172" i="21"/>
  <c r="AU172" i="21"/>
  <c r="AV173" i="21"/>
  <c r="AT173" i="21"/>
  <c r="W171" i="21"/>
  <c r="AH172" i="21"/>
  <c r="AG172" i="21"/>
  <c r="AF172" i="21"/>
  <c r="AE172" i="21"/>
  <c r="AC172" i="21"/>
  <c r="X173" i="21"/>
  <c r="AB173" i="21"/>
  <c r="Y173" i="21"/>
  <c r="Z173" i="21"/>
  <c r="L173" i="21"/>
  <c r="M173" i="21"/>
  <c r="N173" i="21"/>
  <c r="I173" i="21"/>
  <c r="K173" i="21"/>
  <c r="G173" i="21"/>
  <c r="F173" i="21"/>
  <c r="E173" i="21"/>
  <c r="C173" i="21"/>
  <c r="B173" i="21"/>
  <c r="A174" i="21"/>
  <c r="D173" i="21"/>
  <c r="AA173" i="21" s="1"/>
  <c r="O173" i="21" l="1"/>
  <c r="R173" i="21"/>
  <c r="AV174" i="21"/>
  <c r="AT174" i="21"/>
  <c r="AD173" i="21"/>
  <c r="AU173" i="21"/>
  <c r="U172" i="21"/>
  <c r="W172" i="21"/>
  <c r="AH173" i="21"/>
  <c r="AG173" i="21"/>
  <c r="AF173" i="21"/>
  <c r="AE173" i="21"/>
  <c r="AC173" i="21"/>
  <c r="Y174" i="21"/>
  <c r="Z174" i="21"/>
  <c r="X174" i="21"/>
  <c r="AB174" i="21"/>
  <c r="L174" i="21"/>
  <c r="M174" i="21"/>
  <c r="N174" i="21"/>
  <c r="I174" i="21"/>
  <c r="K174" i="21"/>
  <c r="G174" i="21"/>
  <c r="F174" i="21"/>
  <c r="B174" i="21"/>
  <c r="D174" i="21"/>
  <c r="AA174" i="21" s="1"/>
  <c r="E174" i="21"/>
  <c r="A175" i="21"/>
  <c r="C174" i="21"/>
  <c r="O174" i="21" l="1"/>
  <c r="R174" i="21"/>
  <c r="AV175" i="21"/>
  <c r="AT175" i="21"/>
  <c r="AD174" i="21"/>
  <c r="AU174" i="21"/>
  <c r="W173" i="21"/>
  <c r="U173" i="21"/>
  <c r="X175" i="21"/>
  <c r="AB175" i="21"/>
  <c r="Y175" i="21"/>
  <c r="Z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E175" i="21"/>
  <c r="B175" i="21"/>
  <c r="D175" i="21"/>
  <c r="C175" i="21"/>
  <c r="A176" i="21"/>
  <c r="AV176" i="21" l="1"/>
  <c r="AT176" i="21"/>
  <c r="AD175" i="21"/>
  <c r="AU175" i="21"/>
  <c r="AA175" i="21"/>
  <c r="U174" i="21"/>
  <c r="W174" i="21"/>
  <c r="X176" i="21"/>
  <c r="AB176" i="21"/>
  <c r="Y176" i="21"/>
  <c r="Z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B176" i="21"/>
  <c r="C176" i="21"/>
  <c r="R175" i="21" l="1"/>
  <c r="O175" i="21"/>
  <c r="AD176" i="21"/>
  <c r="AU176" i="21"/>
  <c r="AA176" i="21"/>
  <c r="AV177" i="21"/>
  <c r="AA177" i="21"/>
  <c r="R177" i="21" s="1"/>
  <c r="AT177" i="21"/>
  <c r="W175" i="21"/>
  <c r="U175" i="21"/>
  <c r="AH176" i="21"/>
  <c r="AG176" i="21"/>
  <c r="AF176" i="21"/>
  <c r="AC176" i="21"/>
  <c r="AE176" i="21"/>
  <c r="X177" i="21"/>
  <c r="AB177" i="21"/>
  <c r="Y177" i="21"/>
  <c r="Z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l="1"/>
  <c r="AU177" i="21"/>
  <c r="O176" i="21"/>
  <c r="R176" i="21"/>
  <c r="W176" i="21"/>
  <c r="O177" i="21"/>
  <c r="AV178" i="21"/>
  <c r="AT178" i="21"/>
  <c r="U176" i="21"/>
  <c r="W177" i="21"/>
  <c r="AH177" i="21"/>
  <c r="AG177" i="21"/>
  <c r="AF177" i="21"/>
  <c r="AE177" i="21"/>
  <c r="AC177" i="21"/>
  <c r="Y178" i="21"/>
  <c r="Z178" i="21"/>
  <c r="X178" i="21"/>
  <c r="AB178" i="21"/>
  <c r="M178" i="21"/>
  <c r="N178" i="21"/>
  <c r="L178" i="21"/>
  <c r="I178" i="21"/>
  <c r="K178" i="21"/>
  <c r="G178" i="21"/>
  <c r="F178" i="21"/>
  <c r="B178" i="21"/>
  <c r="D178" i="21"/>
  <c r="AA178" i="21" s="1"/>
  <c r="E178" i="21"/>
  <c r="A179" i="21"/>
  <c r="C178" i="21"/>
  <c r="O178" i="21" l="1"/>
  <c r="R178" i="21"/>
  <c r="AD178" i="21"/>
  <c r="AU178" i="21"/>
  <c r="AV179" i="21"/>
  <c r="AT179" i="21"/>
  <c r="U177" i="21"/>
  <c r="Y179" i="21"/>
  <c r="Z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A179" i="21" s="1"/>
  <c r="C179" i="21"/>
  <c r="A180" i="21"/>
  <c r="R179" i="21" l="1"/>
  <c r="O179" i="21"/>
  <c r="AD179" i="21"/>
  <c r="AU179" i="21"/>
  <c r="AV180" i="21"/>
  <c r="AA180" i="21"/>
  <c r="R180" i="21" s="1"/>
  <c r="AT180" i="21"/>
  <c r="Y180" i="21"/>
  <c r="Z180" i="21"/>
  <c r="X180" i="21"/>
  <c r="AB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B180" i="21"/>
  <c r="C180" i="21"/>
  <c r="O180" i="21" l="1"/>
  <c r="AD180" i="21"/>
  <c r="AU180" i="21"/>
  <c r="AV181" i="21"/>
  <c r="AT181" i="21"/>
  <c r="AA181" i="21"/>
  <c r="R181" i="21" s="1"/>
  <c r="W179" i="21"/>
  <c r="U179" i="21"/>
  <c r="AH180" i="21"/>
  <c r="AG180" i="21"/>
  <c r="AF180" i="21"/>
  <c r="AE180" i="21"/>
  <c r="AC180" i="21"/>
  <c r="X181" i="21"/>
  <c r="AB181" i="21"/>
  <c r="Y181" i="21"/>
  <c r="Z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W180" i="21"/>
  <c r="U180" i="21"/>
  <c r="O181" i="21" l="1"/>
  <c r="AV182" i="21"/>
  <c r="AT182" i="21"/>
  <c r="AD181" i="21"/>
  <c r="AU181" i="21"/>
  <c r="U181" i="21"/>
  <c r="AH181" i="21"/>
  <c r="AG181" i="21"/>
  <c r="AF181" i="21"/>
  <c r="AE181" i="21"/>
  <c r="AC181" i="21"/>
  <c r="Y182" i="21"/>
  <c r="Z182" i="21"/>
  <c r="X182" i="21"/>
  <c r="AB182" i="21"/>
  <c r="L182" i="21"/>
  <c r="M182" i="21"/>
  <c r="N182" i="21"/>
  <c r="K182" i="21"/>
  <c r="I182" i="21"/>
  <c r="G182" i="21"/>
  <c r="F182" i="21"/>
  <c r="B182" i="21"/>
  <c r="D182" i="21"/>
  <c r="AA182" i="21" s="1"/>
  <c r="E182" i="21"/>
  <c r="A183" i="21"/>
  <c r="C182" i="21"/>
  <c r="O182" i="21" l="1"/>
  <c r="R182" i="21"/>
  <c r="AV183" i="21"/>
  <c r="AT183" i="21"/>
  <c r="AD182" i="21"/>
  <c r="AU182" i="21"/>
  <c r="W181" i="21"/>
  <c r="Y183" i="21"/>
  <c r="Z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A183" i="21" s="1"/>
  <c r="C183" i="21"/>
  <c r="A184" i="21"/>
  <c r="R183" i="21" l="1"/>
  <c r="O183" i="21"/>
  <c r="AV184" i="21"/>
  <c r="AT184" i="21"/>
  <c r="AD183" i="21"/>
  <c r="AU183" i="21"/>
  <c r="W182" i="21"/>
  <c r="U182" i="21"/>
  <c r="AB184" i="21"/>
  <c r="Y184" i="21"/>
  <c r="Z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B184" i="21"/>
  <c r="C184" i="21"/>
  <c r="AD184" i="21" l="1"/>
  <c r="AU184" i="21"/>
  <c r="AA184" i="21"/>
  <c r="AV185" i="21"/>
  <c r="AT185" i="21"/>
  <c r="AH184" i="21"/>
  <c r="AG184" i="21"/>
  <c r="AF184" i="21"/>
  <c r="AE184" i="21"/>
  <c r="AC184" i="21"/>
  <c r="X185" i="21"/>
  <c r="AB185" i="21"/>
  <c r="Y185" i="21"/>
  <c r="Z185" i="21"/>
  <c r="L185" i="21"/>
  <c r="M185" i="21"/>
  <c r="N185" i="21"/>
  <c r="K185" i="21"/>
  <c r="I185" i="21"/>
  <c r="G185" i="21"/>
  <c r="F185" i="21"/>
  <c r="E185" i="21"/>
  <c r="C185" i="21"/>
  <c r="B185" i="21"/>
  <c r="D185" i="21"/>
  <c r="AA185" i="21" s="1"/>
  <c r="A186" i="21"/>
  <c r="O185" i="21" l="1"/>
  <c r="R185" i="21"/>
  <c r="AD185" i="21"/>
  <c r="AU185" i="21"/>
  <c r="O184" i="21"/>
  <c r="R184" i="21"/>
  <c r="AV186" i="21"/>
  <c r="AT186" i="21"/>
  <c r="W184" i="21"/>
  <c r="W185" i="21"/>
  <c r="U184" i="21"/>
  <c r="Y186" i="21"/>
  <c r="Z186" i="21"/>
  <c r="X186" i="21"/>
  <c r="AB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B186" i="21"/>
  <c r="D186" i="21"/>
  <c r="A187" i="21"/>
  <c r="C186" i="21"/>
  <c r="E186" i="21"/>
  <c r="AD186" i="21" l="1"/>
  <c r="AU186" i="21"/>
  <c r="AA186" i="21"/>
  <c r="AV187" i="21"/>
  <c r="AT187" i="21"/>
  <c r="U185" i="21"/>
  <c r="X187" i="21"/>
  <c r="AB187" i="21"/>
  <c r="Y187" i="21"/>
  <c r="Z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C187" i="21"/>
  <c r="E187" i="21"/>
  <c r="B187" i="21"/>
  <c r="A188" i="21"/>
  <c r="D187" i="21"/>
  <c r="AA187" i="21" s="1"/>
  <c r="O187" i="21" l="1"/>
  <c r="R187" i="21"/>
  <c r="AD187" i="21"/>
  <c r="AU187" i="21"/>
  <c r="O186" i="21"/>
  <c r="R186" i="21"/>
  <c r="AV188" i="21"/>
  <c r="AT188" i="21"/>
  <c r="U187" i="21"/>
  <c r="U186" i="21"/>
  <c r="W186" i="21"/>
  <c r="AH187" i="21"/>
  <c r="AG187" i="21"/>
  <c r="AF187" i="21"/>
  <c r="AE187" i="21"/>
  <c r="AC187" i="21"/>
  <c r="X188" i="21"/>
  <c r="AB188" i="21"/>
  <c r="Y188" i="21"/>
  <c r="Z188" i="21"/>
  <c r="M188" i="21"/>
  <c r="N188" i="21"/>
  <c r="L188" i="21"/>
  <c r="K188" i="21"/>
  <c r="I188" i="21"/>
  <c r="F188" i="21"/>
  <c r="G188" i="21"/>
  <c r="E188" i="21"/>
  <c r="A189" i="21"/>
  <c r="D188" i="21"/>
  <c r="B188" i="21"/>
  <c r="C188" i="21"/>
  <c r="AV189" i="21" l="1"/>
  <c r="AT189" i="21"/>
  <c r="AD188" i="21"/>
  <c r="AU188" i="21"/>
  <c r="AA188" i="21"/>
  <c r="W187" i="21"/>
  <c r="AH188" i="21"/>
  <c r="AG188" i="21"/>
  <c r="AF188" i="21"/>
  <c r="AE188" i="21"/>
  <c r="AC188" i="21"/>
  <c r="X189" i="21"/>
  <c r="AB189" i="21"/>
  <c r="Y189" i="21"/>
  <c r="Z189" i="21"/>
  <c r="M189" i="21"/>
  <c r="N189" i="21"/>
  <c r="L189" i="21"/>
  <c r="K189" i="21"/>
  <c r="I189" i="21"/>
  <c r="F189" i="21"/>
  <c r="G189" i="21"/>
  <c r="E189" i="21"/>
  <c r="C189" i="21"/>
  <c r="B189" i="21"/>
  <c r="D189" i="21"/>
  <c r="A190" i="21"/>
  <c r="O188" i="21" l="1"/>
  <c r="R188" i="21"/>
  <c r="AV190" i="21"/>
  <c r="AT190" i="21"/>
  <c r="AD189" i="21"/>
  <c r="AU189" i="21"/>
  <c r="AA189" i="21"/>
  <c r="W189" i="21" s="1"/>
  <c r="W188" i="21"/>
  <c r="U188" i="21"/>
  <c r="Y190" i="21"/>
  <c r="Z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A190" i="21" s="1"/>
  <c r="A191" i="21"/>
  <c r="E190" i="21"/>
  <c r="C190" i="21"/>
  <c r="U189" i="21" l="1"/>
  <c r="O190" i="21"/>
  <c r="R190" i="21"/>
  <c r="AV191" i="21"/>
  <c r="AT191" i="21"/>
  <c r="AA191" i="21"/>
  <c r="O191" i="21" s="1"/>
  <c r="AD190" i="21"/>
  <c r="AU190" i="21"/>
  <c r="O189" i="21"/>
  <c r="R189" i="21"/>
  <c r="Y191" i="21"/>
  <c r="Z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192" i="21"/>
  <c r="E191" i="21"/>
  <c r="C191" i="21"/>
  <c r="B191" i="21"/>
  <c r="R191" i="21" l="1"/>
  <c r="AD191" i="21"/>
  <c r="AU191" i="21"/>
  <c r="AV192" i="21"/>
  <c r="AT192" i="21"/>
  <c r="W191" i="21"/>
  <c r="U190" i="21"/>
  <c r="W190" i="21"/>
  <c r="Y192" i="21"/>
  <c r="Z192" i="21"/>
  <c r="X192" i="21"/>
  <c r="AB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A192" i="21" s="1"/>
  <c r="E192" i="21"/>
  <c r="C192" i="21"/>
  <c r="B192" i="21"/>
  <c r="O192" i="21" l="1"/>
  <c r="R192" i="21"/>
  <c r="AD192" i="21"/>
  <c r="AU192" i="21"/>
  <c r="AV193" i="21"/>
  <c r="AT193" i="21"/>
  <c r="U191" i="21"/>
  <c r="AH192" i="21"/>
  <c r="AG192" i="21"/>
  <c r="AF192" i="21"/>
  <c r="AE192" i="21"/>
  <c r="AC192" i="21"/>
  <c r="X193" i="21"/>
  <c r="AB193" i="21"/>
  <c r="Y193" i="21"/>
  <c r="Z193" i="21"/>
  <c r="N193" i="21"/>
  <c r="K193" i="21"/>
  <c r="M193" i="21"/>
  <c r="L193" i="21"/>
  <c r="I193" i="21"/>
  <c r="G193" i="21"/>
  <c r="F193" i="21"/>
  <c r="E193" i="21"/>
  <c r="B193" i="21"/>
  <c r="A194" i="21"/>
  <c r="D193" i="21"/>
  <c r="C193" i="21"/>
  <c r="W192" i="21"/>
  <c r="U192" i="21"/>
  <c r="AD193" i="21" l="1"/>
  <c r="AU193" i="21"/>
  <c r="AA193" i="21"/>
  <c r="AV194" i="21"/>
  <c r="AT194" i="21"/>
  <c r="AH193" i="21"/>
  <c r="AG193" i="21"/>
  <c r="AF193" i="21"/>
  <c r="AE193" i="21"/>
  <c r="AC193" i="21"/>
  <c r="Y194" i="21"/>
  <c r="Z194" i="21"/>
  <c r="X194" i="21"/>
  <c r="AB194" i="21"/>
  <c r="L194" i="21"/>
  <c r="M194" i="21"/>
  <c r="N194" i="21"/>
  <c r="K194" i="21"/>
  <c r="I194" i="21"/>
  <c r="G194" i="21"/>
  <c r="F194" i="21"/>
  <c r="B194" i="21"/>
  <c r="D194" i="21"/>
  <c r="AA194" i="21" s="1"/>
  <c r="A195" i="21"/>
  <c r="C194" i="21"/>
  <c r="E194" i="21"/>
  <c r="R194" i="21" l="1"/>
  <c r="O194" i="21"/>
  <c r="AV195" i="21"/>
  <c r="AT195" i="21"/>
  <c r="R193" i="21"/>
  <c r="O193" i="21"/>
  <c r="AD194" i="21"/>
  <c r="AU194" i="21"/>
  <c r="W193" i="21"/>
  <c r="U193" i="21"/>
  <c r="Y195" i="21"/>
  <c r="Z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E195" i="21"/>
  <c r="C195" i="21"/>
  <c r="B195" i="21"/>
  <c r="D195" i="21"/>
  <c r="AA195" i="21" s="1"/>
  <c r="A196" i="21"/>
  <c r="R195" i="21" l="1"/>
  <c r="O195" i="21"/>
  <c r="AD195" i="21"/>
  <c r="AU195" i="21"/>
  <c r="AV196" i="21"/>
  <c r="AT196" i="21"/>
  <c r="U194" i="21"/>
  <c r="W194" i="21"/>
  <c r="AB196" i="21"/>
  <c r="Y196" i="21"/>
  <c r="Z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A197" i="21"/>
  <c r="D196" i="21"/>
  <c r="AA196" i="21" s="1"/>
  <c r="E196" i="21"/>
  <c r="C196" i="21"/>
  <c r="B196" i="21"/>
  <c r="O196" i="21" l="1"/>
  <c r="R196" i="21"/>
  <c r="AD196" i="21"/>
  <c r="AU196" i="21"/>
  <c r="AV197" i="21"/>
  <c r="AT197" i="21"/>
  <c r="U195" i="21"/>
  <c r="W195" i="21"/>
  <c r="AH196" i="21"/>
  <c r="AG196" i="21"/>
  <c r="AF196" i="21"/>
  <c r="AE196" i="21"/>
  <c r="AC196" i="21"/>
  <c r="X197" i="21"/>
  <c r="AB197" i="21"/>
  <c r="Y197" i="21"/>
  <c r="Z197" i="21"/>
  <c r="L197" i="21"/>
  <c r="M197" i="21"/>
  <c r="N197" i="21"/>
  <c r="I197" i="21"/>
  <c r="K197" i="21"/>
  <c r="G197" i="21"/>
  <c r="F197" i="21"/>
  <c r="E197" i="21"/>
  <c r="D197" i="21"/>
  <c r="AA197" i="21" s="1"/>
  <c r="A198" i="21"/>
  <c r="B197" i="21"/>
  <c r="C197" i="21"/>
  <c r="R197" i="21" l="1"/>
  <c r="O197" i="21"/>
  <c r="AV198" i="21"/>
  <c r="AT198" i="21"/>
  <c r="AD197" i="21"/>
  <c r="AU197" i="21"/>
  <c r="W196" i="21"/>
  <c r="U196" i="21"/>
  <c r="Y198" i="21"/>
  <c r="Z198" i="21"/>
  <c r="X198" i="21"/>
  <c r="AB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B198" i="21"/>
  <c r="A199" i="21"/>
  <c r="E198" i="21"/>
  <c r="D198" i="21"/>
  <c r="C198" i="21"/>
  <c r="AD198" i="21" l="1"/>
  <c r="AU198" i="21"/>
  <c r="AV199" i="21"/>
  <c r="AT199" i="21"/>
  <c r="AA198" i="21"/>
  <c r="W198" i="21" s="1"/>
  <c r="U197" i="21"/>
  <c r="W197" i="21"/>
  <c r="AH198" i="21"/>
  <c r="AG198" i="21"/>
  <c r="AF198" i="21"/>
  <c r="AE198" i="21"/>
  <c r="AC198" i="21"/>
  <c r="X199" i="21"/>
  <c r="AB199" i="21"/>
  <c r="Y199" i="21"/>
  <c r="Z199" i="21"/>
  <c r="N199" i="21"/>
  <c r="L199" i="21"/>
  <c r="M199" i="21"/>
  <c r="K199" i="21"/>
  <c r="I199" i="21"/>
  <c r="F199" i="21"/>
  <c r="G199" i="21"/>
  <c r="A200" i="21"/>
  <c r="C199" i="21"/>
  <c r="E199" i="21"/>
  <c r="D199" i="21"/>
  <c r="AA199" i="21" s="1"/>
  <c r="B199" i="21"/>
  <c r="R199" i="21" l="1"/>
  <c r="O199" i="21"/>
  <c r="AD199" i="21"/>
  <c r="AU199" i="21"/>
  <c r="R198" i="21"/>
  <c r="O198" i="21"/>
  <c r="AV200" i="21"/>
  <c r="AA200" i="21"/>
  <c r="R200" i="21" s="1"/>
  <c r="AT200" i="21"/>
  <c r="U198" i="21"/>
  <c r="W199" i="21"/>
  <c r="AH199" i="21"/>
  <c r="AG199" i="21"/>
  <c r="AF199" i="21"/>
  <c r="AE199" i="21"/>
  <c r="AC199" i="21"/>
  <c r="X200" i="21"/>
  <c r="AB200" i="21"/>
  <c r="Y200" i="21"/>
  <c r="Z200" i="21"/>
  <c r="M200" i="21"/>
  <c r="N200" i="21"/>
  <c r="L200" i="21"/>
  <c r="K200" i="21"/>
  <c r="I200" i="21"/>
  <c r="F200" i="21"/>
  <c r="G200" i="21"/>
  <c r="A201" i="21"/>
  <c r="D200" i="21"/>
  <c r="E200" i="21"/>
  <c r="C200" i="21"/>
  <c r="B200" i="21"/>
  <c r="O200" i="21" l="1"/>
  <c r="AV201" i="21"/>
  <c r="AT201" i="21"/>
  <c r="AD200" i="21"/>
  <c r="AU200" i="21"/>
  <c r="U199" i="21"/>
  <c r="AH200" i="21"/>
  <c r="AG200" i="21"/>
  <c r="AF200" i="21"/>
  <c r="AC200" i="21"/>
  <c r="AE200" i="21"/>
  <c r="X201" i="21"/>
  <c r="AB201" i="21"/>
  <c r="Y201" i="21"/>
  <c r="Z201" i="21"/>
  <c r="M201" i="21"/>
  <c r="N201" i="21"/>
  <c r="L201" i="21"/>
  <c r="K201" i="21"/>
  <c r="I201" i="21"/>
  <c r="F201" i="21"/>
  <c r="G201" i="21"/>
  <c r="E201" i="21"/>
  <c r="C201" i="21"/>
  <c r="B201" i="21"/>
  <c r="D201" i="21"/>
  <c r="AA201" i="21" s="1"/>
  <c r="A202" i="21"/>
  <c r="R201" i="21" l="1"/>
  <c r="O201" i="21"/>
  <c r="AD201" i="21"/>
  <c r="AU201" i="21"/>
  <c r="AV202" i="21"/>
  <c r="AT202" i="21"/>
  <c r="U200" i="21"/>
  <c r="W200" i="21"/>
  <c r="Y202" i="21"/>
  <c r="Z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D202" i="21"/>
  <c r="AA202" i="21" s="1"/>
  <c r="E202" i="21"/>
  <c r="A203" i="21"/>
  <c r="B202" i="21"/>
  <c r="C202" i="21"/>
  <c r="R202" i="21" l="1"/>
  <c r="O202" i="21"/>
  <c r="AD202" i="21"/>
  <c r="AU202" i="21"/>
  <c r="AV203" i="21"/>
  <c r="AT203" i="21"/>
  <c r="U201" i="21"/>
  <c r="W201" i="21"/>
  <c r="Y203" i="21"/>
  <c r="Z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C203" i="21"/>
  <c r="A204" i="21"/>
  <c r="D203" i="21"/>
  <c r="AA203" i="21" s="1"/>
  <c r="B203" i="21"/>
  <c r="E203" i="21"/>
  <c r="R203" i="21" l="1"/>
  <c r="O203" i="21"/>
  <c r="AV204" i="21"/>
  <c r="AT204" i="21"/>
  <c r="AD203" i="21"/>
  <c r="AU203" i="21"/>
  <c r="W202" i="21"/>
  <c r="U202" i="21"/>
  <c r="AH203" i="21"/>
  <c r="AG203" i="21"/>
  <c r="AF203" i="21"/>
  <c r="AE203" i="21"/>
  <c r="AC203" i="21"/>
  <c r="Y204" i="21"/>
  <c r="Z204" i="21"/>
  <c r="X204" i="21"/>
  <c r="AB204" i="21"/>
  <c r="M204" i="21"/>
  <c r="N204" i="21"/>
  <c r="L204" i="21"/>
  <c r="K204" i="21"/>
  <c r="I204" i="21"/>
  <c r="F204" i="21"/>
  <c r="G204" i="21"/>
  <c r="A205" i="21"/>
  <c r="D204" i="21"/>
  <c r="B204" i="21"/>
  <c r="C204" i="21"/>
  <c r="E204" i="21"/>
  <c r="AD204" i="21" l="1"/>
  <c r="AU204" i="21"/>
  <c r="AA204" i="21"/>
  <c r="AV205" i="21"/>
  <c r="AT205" i="21"/>
  <c r="U203" i="21"/>
  <c r="W203" i="21"/>
  <c r="AH204" i="21"/>
  <c r="AG204" i="21"/>
  <c r="AF204" i="21"/>
  <c r="AE204" i="21"/>
  <c r="AC204" i="21"/>
  <c r="X205" i="21"/>
  <c r="AB205" i="21"/>
  <c r="Y205" i="21"/>
  <c r="Z205" i="21"/>
  <c r="N205" i="21"/>
  <c r="K205" i="21"/>
  <c r="M205" i="21"/>
  <c r="L205" i="21"/>
  <c r="I205" i="21"/>
  <c r="G205" i="21"/>
  <c r="F205" i="21"/>
  <c r="A206" i="21"/>
  <c r="B205" i="21"/>
  <c r="E205" i="21"/>
  <c r="D205" i="21"/>
  <c r="AA205" i="21" s="1"/>
  <c r="C205" i="21"/>
  <c r="O205" i="21" l="1"/>
  <c r="R205" i="21"/>
  <c r="AD205" i="21"/>
  <c r="AU205" i="21"/>
  <c r="R204" i="21"/>
  <c r="O204" i="21"/>
  <c r="AV206" i="21"/>
  <c r="AT206" i="21"/>
  <c r="W204" i="21"/>
  <c r="U204" i="21"/>
  <c r="AH205" i="21"/>
  <c r="AG205" i="21"/>
  <c r="AF205" i="21"/>
  <c r="AE205" i="21"/>
  <c r="AC205" i="21"/>
  <c r="Y206" i="21"/>
  <c r="Z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C206" i="21"/>
  <c r="AD206" i="21" l="1"/>
  <c r="AU206" i="21"/>
  <c r="AA206" i="21"/>
  <c r="AV207" i="21"/>
  <c r="AT207" i="21"/>
  <c r="AA207" i="21"/>
  <c r="R207" i="21" s="1"/>
  <c r="U205" i="21"/>
  <c r="W205" i="21"/>
  <c r="AH206" i="21"/>
  <c r="AG206" i="21"/>
  <c r="AF206" i="21"/>
  <c r="AE206" i="21"/>
  <c r="AC206" i="21"/>
  <c r="Y207" i="21"/>
  <c r="Z207" i="21"/>
  <c r="X207" i="21"/>
  <c r="AB207" i="21"/>
  <c r="L207" i="21"/>
  <c r="M207" i="21"/>
  <c r="N207" i="21"/>
  <c r="K207" i="21"/>
  <c r="I207" i="21"/>
  <c r="G207" i="21"/>
  <c r="F207" i="21"/>
  <c r="D207" i="21"/>
  <c r="A208" i="21"/>
  <c r="E207" i="21"/>
  <c r="C207" i="21"/>
  <c r="B207" i="21"/>
  <c r="O207" i="21" l="1"/>
  <c r="AV208" i="21"/>
  <c r="AT208" i="21"/>
  <c r="R206" i="21"/>
  <c r="O206" i="21"/>
  <c r="AD207" i="21"/>
  <c r="AU207" i="21"/>
  <c r="U206" i="21"/>
  <c r="W206" i="21"/>
  <c r="U207" i="21"/>
  <c r="AB208" i="21"/>
  <c r="Y208" i="21"/>
  <c r="Z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C208" i="21"/>
  <c r="B208" i="21"/>
  <c r="E208" i="21"/>
  <c r="AD208" i="21" l="1"/>
  <c r="AU208" i="21"/>
  <c r="AV209" i="21"/>
  <c r="AT209" i="21"/>
  <c r="AA208" i="21"/>
  <c r="W207" i="21"/>
  <c r="AH208" i="21"/>
  <c r="AG208" i="21"/>
  <c r="AF208" i="21"/>
  <c r="AE208" i="21"/>
  <c r="AC208" i="21"/>
  <c r="X209" i="21"/>
  <c r="AB209" i="21"/>
  <c r="Y209" i="21"/>
  <c r="Z209" i="21"/>
  <c r="L209" i="21"/>
  <c r="M209" i="21"/>
  <c r="N209" i="21"/>
  <c r="I209" i="21"/>
  <c r="K209" i="21"/>
  <c r="G209" i="21"/>
  <c r="F209" i="21"/>
  <c r="C209" i="21"/>
  <c r="E209" i="21"/>
  <c r="B209" i="21"/>
  <c r="D209" i="21"/>
  <c r="A210" i="21"/>
  <c r="R208" i="21" l="1"/>
  <c r="O208" i="21"/>
  <c r="AD209" i="21"/>
  <c r="AU209" i="21"/>
  <c r="AA209" i="21"/>
  <c r="AV210" i="21"/>
  <c r="AT210" i="21"/>
  <c r="U208" i="21"/>
  <c r="W208" i="21"/>
  <c r="Y210" i="21"/>
  <c r="Z210" i="21"/>
  <c r="X210" i="21"/>
  <c r="AB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A211" i="21"/>
  <c r="B210" i="21"/>
  <c r="E210" i="21"/>
  <c r="C210" i="21"/>
  <c r="D210" i="21"/>
  <c r="AA210" i="21" s="1"/>
  <c r="R210" i="21" l="1"/>
  <c r="O210" i="21"/>
  <c r="R209" i="21"/>
  <c r="O209" i="21"/>
  <c r="AV211" i="21"/>
  <c r="AT211" i="21"/>
  <c r="AD210" i="21"/>
  <c r="AU210" i="21"/>
  <c r="U209" i="21"/>
  <c r="W209" i="21"/>
  <c r="W210" i="21"/>
  <c r="AH210" i="21"/>
  <c r="AG210" i="21"/>
  <c r="AF210" i="21"/>
  <c r="AE210" i="21"/>
  <c r="AC210" i="21"/>
  <c r="X211" i="21"/>
  <c r="AB211" i="21"/>
  <c r="Y211" i="21"/>
  <c r="Z211" i="21"/>
  <c r="N211" i="21"/>
  <c r="L211" i="21"/>
  <c r="M211" i="21"/>
  <c r="K211" i="21"/>
  <c r="I211" i="21"/>
  <c r="F211" i="21"/>
  <c r="G211" i="21"/>
  <c r="A212" i="21"/>
  <c r="C211" i="21"/>
  <c r="B211" i="21"/>
  <c r="D211" i="21"/>
  <c r="E211" i="21"/>
  <c r="AD211" i="21" l="1"/>
  <c r="AU211" i="21"/>
  <c r="AA211" i="21"/>
  <c r="AV212" i="21"/>
  <c r="AT212" i="21"/>
  <c r="AA212" i="21"/>
  <c r="O212" i="21" s="1"/>
  <c r="U210" i="21"/>
  <c r="AH211" i="21"/>
  <c r="AG211" i="21"/>
  <c r="AF211" i="21"/>
  <c r="AE211" i="21"/>
  <c r="AC211" i="21"/>
  <c r="X212" i="21"/>
  <c r="AB212" i="21"/>
  <c r="Y212" i="21"/>
  <c r="Z212" i="21"/>
  <c r="M212" i="21"/>
  <c r="N212" i="21"/>
  <c r="L212" i="21"/>
  <c r="K212" i="21"/>
  <c r="I212" i="21"/>
  <c r="F212" i="21"/>
  <c r="G212" i="21"/>
  <c r="A213" i="21"/>
  <c r="D212" i="21"/>
  <c r="E212" i="21"/>
  <c r="C212" i="21"/>
  <c r="B212" i="21"/>
  <c r="R212" i="21" l="1"/>
  <c r="AV213" i="21"/>
  <c r="AT213" i="21"/>
  <c r="AD212" i="21"/>
  <c r="AU212" i="21"/>
  <c r="R211" i="21"/>
  <c r="O211" i="21"/>
  <c r="W211" i="21"/>
  <c r="U211" i="21"/>
  <c r="AH212" i="21"/>
  <c r="AG212" i="21"/>
  <c r="AF212" i="21"/>
  <c r="AC212" i="21"/>
  <c r="AE212" i="21"/>
  <c r="X213" i="21"/>
  <c r="AB213" i="21"/>
  <c r="Y213" i="21"/>
  <c r="Z213" i="21"/>
  <c r="M213" i="21"/>
  <c r="N213" i="21"/>
  <c r="L213" i="21"/>
  <c r="K213" i="21"/>
  <c r="I213" i="21"/>
  <c r="G213" i="21"/>
  <c r="F213" i="21"/>
  <c r="D213" i="21"/>
  <c r="AA213" i="21" s="1"/>
  <c r="A214" i="21"/>
  <c r="E213" i="21"/>
  <c r="B213" i="21"/>
  <c r="C213" i="21"/>
  <c r="O213" i="21" l="1"/>
  <c r="R213" i="21"/>
  <c r="AV214" i="21"/>
  <c r="AT214" i="21"/>
  <c r="AD213" i="21"/>
  <c r="AU213" i="21"/>
  <c r="U212" i="21"/>
  <c r="W212" i="21"/>
  <c r="Y214" i="21"/>
  <c r="Z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A214" i="21" s="1"/>
  <c r="B214" i="21"/>
  <c r="O214" i="21" l="1"/>
  <c r="R214" i="21"/>
  <c r="AV215" i="21"/>
  <c r="AT215" i="21"/>
  <c r="AD214" i="21"/>
  <c r="AU214" i="21"/>
  <c r="U213" i="21"/>
  <c r="W213" i="21"/>
  <c r="AH214" i="21"/>
  <c r="AG214" i="21"/>
  <c r="AF214" i="21"/>
  <c r="AE214" i="21"/>
  <c r="AC214" i="21"/>
  <c r="Y215" i="21"/>
  <c r="Z215" i="21"/>
  <c r="X215" i="21"/>
  <c r="AB215" i="21"/>
  <c r="M215" i="21"/>
  <c r="N215" i="21"/>
  <c r="L215" i="21"/>
  <c r="K215" i="21"/>
  <c r="I215" i="21"/>
  <c r="G215" i="21"/>
  <c r="F215" i="21"/>
  <c r="D215" i="21"/>
  <c r="AA215" i="21" s="1"/>
  <c r="C215" i="21"/>
  <c r="A216" i="21"/>
  <c r="B215" i="21"/>
  <c r="E215" i="21"/>
  <c r="O215" i="21" l="1"/>
  <c r="R215" i="21"/>
  <c r="AV216" i="21"/>
  <c r="AT216" i="21"/>
  <c r="AD215" i="21"/>
  <c r="AU215" i="21"/>
  <c r="U214" i="21"/>
  <c r="W214" i="21"/>
  <c r="U215" i="21"/>
  <c r="Y216" i="21"/>
  <c r="Z216" i="21"/>
  <c r="X216" i="21"/>
  <c r="AB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A216" i="21" s="1"/>
  <c r="C216" i="21"/>
  <c r="E216" i="21"/>
  <c r="B216" i="21"/>
  <c r="R216" i="21" l="1"/>
  <c r="O216" i="21"/>
  <c r="AV217" i="21"/>
  <c r="AT217" i="21"/>
  <c r="AD216" i="21"/>
  <c r="AU216" i="21"/>
  <c r="W215" i="21"/>
  <c r="AH216" i="21"/>
  <c r="AG216" i="21"/>
  <c r="AF216" i="21"/>
  <c r="AE216" i="21"/>
  <c r="AC216" i="21"/>
  <c r="X217" i="21"/>
  <c r="AB217" i="21"/>
  <c r="Y217" i="21"/>
  <c r="Z217" i="21"/>
  <c r="N217" i="21"/>
  <c r="K217" i="21"/>
  <c r="M217" i="21"/>
  <c r="L217" i="21"/>
  <c r="I217" i="21"/>
  <c r="G217" i="21"/>
  <c r="F217" i="21"/>
  <c r="A218" i="21"/>
  <c r="C217" i="21"/>
  <c r="B217" i="21"/>
  <c r="E217" i="21"/>
  <c r="D217" i="21"/>
  <c r="AA217" i="21" s="1"/>
  <c r="O217" i="21" l="1"/>
  <c r="R217" i="21"/>
  <c r="AD217" i="21"/>
  <c r="AU217" i="21"/>
  <c r="AV218" i="21"/>
  <c r="AT218" i="21"/>
  <c r="U216" i="21"/>
  <c r="W216" i="21"/>
  <c r="W217" i="21"/>
  <c r="AH217" i="21"/>
  <c r="AG217" i="21"/>
  <c r="AF217" i="21"/>
  <c r="AE217" i="21"/>
  <c r="AC217" i="21"/>
  <c r="Y218" i="21"/>
  <c r="Z218" i="21"/>
  <c r="X218" i="21"/>
  <c r="AB218" i="21"/>
  <c r="L218" i="21"/>
  <c r="M218" i="21"/>
  <c r="N218" i="21"/>
  <c r="K218" i="21"/>
  <c r="I218" i="21"/>
  <c r="G218" i="21"/>
  <c r="F218" i="21"/>
  <c r="E218" i="21"/>
  <c r="D218" i="21"/>
  <c r="AA218" i="21" s="1"/>
  <c r="C218" i="21"/>
  <c r="B218" i="21"/>
  <c r="A219" i="21"/>
  <c r="R218" i="21" l="1"/>
  <c r="O218" i="21"/>
  <c r="AV219" i="21"/>
  <c r="AT219" i="21"/>
  <c r="AD218" i="21"/>
  <c r="AU218" i="21"/>
  <c r="U217" i="21"/>
  <c r="Y219" i="21"/>
  <c r="Z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A220" i="21"/>
  <c r="C219" i="21"/>
  <c r="E219" i="21"/>
  <c r="D219" i="21"/>
  <c r="AA219" i="21" s="1"/>
  <c r="B219" i="21"/>
  <c r="O219" i="21" l="1"/>
  <c r="R219" i="21"/>
  <c r="AD219" i="21"/>
  <c r="AU219" i="21"/>
  <c r="AV220" i="21"/>
  <c r="AT220" i="21"/>
  <c r="U218" i="21"/>
  <c r="W218" i="21"/>
  <c r="AH219" i="21"/>
  <c r="AG219" i="21"/>
  <c r="AF219" i="21"/>
  <c r="AE219" i="21"/>
  <c r="AC219" i="21"/>
  <c r="AB220" i="21"/>
  <c r="Y220" i="21"/>
  <c r="Z220" i="21"/>
  <c r="X220" i="21"/>
  <c r="L220" i="21"/>
  <c r="M220" i="21"/>
  <c r="N220" i="21"/>
  <c r="G220" i="21"/>
  <c r="K220" i="21"/>
  <c r="I220" i="21"/>
  <c r="F220" i="21"/>
  <c r="E220" i="21"/>
  <c r="D220" i="21"/>
  <c r="AA220" i="21" s="1"/>
  <c r="A221" i="21"/>
  <c r="B220" i="21"/>
  <c r="C220" i="21"/>
  <c r="R220" i="21" l="1"/>
  <c r="O220" i="21"/>
  <c r="AV221" i="21"/>
  <c r="AT221" i="21"/>
  <c r="AD220" i="21"/>
  <c r="AU220" i="21"/>
  <c r="W219" i="21"/>
  <c r="U219" i="21"/>
  <c r="X221" i="21"/>
  <c r="AB221" i="21"/>
  <c r="Y221" i="21"/>
  <c r="Z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E221" i="21"/>
  <c r="D221" i="21"/>
  <c r="C221" i="21"/>
  <c r="A222" i="21"/>
  <c r="B221" i="21"/>
  <c r="AV222" i="21" l="1"/>
  <c r="AT222" i="21"/>
  <c r="AD221" i="21"/>
  <c r="AU221" i="21"/>
  <c r="AA221" i="21"/>
  <c r="U220" i="21"/>
  <c r="W220" i="21"/>
  <c r="Y222" i="21"/>
  <c r="Z222" i="21"/>
  <c r="X222" i="21"/>
  <c r="AB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E222" i="21"/>
  <c r="A223" i="21"/>
  <c r="D222" i="21"/>
  <c r="C222" i="21"/>
  <c r="B222" i="21"/>
  <c r="R221" i="21" l="1"/>
  <c r="O221" i="21"/>
  <c r="AD222" i="21"/>
  <c r="AU222" i="21"/>
  <c r="AA222" i="21"/>
  <c r="AV223" i="21"/>
  <c r="AT223" i="21"/>
  <c r="W221" i="21"/>
  <c r="U221" i="21"/>
  <c r="AH222" i="21"/>
  <c r="AG222" i="21"/>
  <c r="AF222" i="21"/>
  <c r="AE222" i="21"/>
  <c r="AC222" i="21"/>
  <c r="X223" i="21"/>
  <c r="AB223" i="21"/>
  <c r="Y223" i="21"/>
  <c r="Z223" i="21"/>
  <c r="N223" i="21"/>
  <c r="L223" i="21"/>
  <c r="M223" i="21"/>
  <c r="I223" i="21"/>
  <c r="K223" i="21"/>
  <c r="F223" i="21"/>
  <c r="G223" i="21"/>
  <c r="B223" i="21"/>
  <c r="C223" i="21"/>
  <c r="A224" i="21"/>
  <c r="E223" i="21"/>
  <c r="D223" i="21"/>
  <c r="AA223" i="21" s="1"/>
  <c r="O223" i="21" l="1"/>
  <c r="R223" i="21"/>
  <c r="AV224" i="21"/>
  <c r="AT224" i="21"/>
  <c r="O222" i="21"/>
  <c r="R222" i="21"/>
  <c r="AD223" i="21"/>
  <c r="AU223" i="21"/>
  <c r="U222" i="21"/>
  <c r="W222" i="21"/>
  <c r="AH223" i="21"/>
  <c r="AG223" i="21"/>
  <c r="AF223" i="21"/>
  <c r="AE223" i="21"/>
  <c r="AC223" i="21"/>
  <c r="X224" i="21"/>
  <c r="AB224" i="21"/>
  <c r="Y224" i="21"/>
  <c r="Z224" i="21"/>
  <c r="M224" i="21"/>
  <c r="N224" i="21"/>
  <c r="L224" i="21"/>
  <c r="K224" i="21"/>
  <c r="I224" i="21"/>
  <c r="F224" i="21"/>
  <c r="G224" i="21"/>
  <c r="D224" i="21"/>
  <c r="AA224" i="21" s="1"/>
  <c r="C224" i="21"/>
  <c r="A225" i="21"/>
  <c r="E224" i="21"/>
  <c r="B224" i="21"/>
  <c r="O224" i="21" l="1"/>
  <c r="R224" i="21"/>
  <c r="AV225" i="21"/>
  <c r="AT225" i="21"/>
  <c r="AD224" i="21"/>
  <c r="AU224" i="21"/>
  <c r="U223" i="21"/>
  <c r="W223" i="21"/>
  <c r="X225" i="21"/>
  <c r="AB225" i="21"/>
  <c r="Y225" i="21"/>
  <c r="Z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B225" i="21"/>
  <c r="AD225" i="21" l="1"/>
  <c r="AU225" i="21"/>
  <c r="AV226" i="21"/>
  <c r="AT226" i="21"/>
  <c r="AA225" i="21"/>
  <c r="W224" i="21"/>
  <c r="U224" i="21"/>
  <c r="AH225" i="21"/>
  <c r="AG225" i="21"/>
  <c r="AF225" i="21"/>
  <c r="AE225" i="21"/>
  <c r="AC225" i="21"/>
  <c r="Y226" i="21"/>
  <c r="Z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A226" i="21" s="1"/>
  <c r="C226" i="21"/>
  <c r="B226" i="21"/>
  <c r="O226" i="21" l="1"/>
  <c r="R226" i="21"/>
  <c r="O225" i="21"/>
  <c r="R225" i="21"/>
  <c r="AD226" i="21"/>
  <c r="AU226" i="21"/>
  <c r="W225" i="21"/>
  <c r="AV227" i="21"/>
  <c r="AT227" i="21"/>
  <c r="AA227" i="21"/>
  <c r="R227" i="21" s="1"/>
  <c r="U225" i="21"/>
  <c r="AH226" i="21"/>
  <c r="AG226" i="21"/>
  <c r="AF226" i="21"/>
  <c r="AE226" i="21"/>
  <c r="AC226" i="21"/>
  <c r="Y227" i="21"/>
  <c r="Z227" i="21"/>
  <c r="X227" i="21"/>
  <c r="AB227" i="21"/>
  <c r="M227" i="21"/>
  <c r="N227" i="21"/>
  <c r="L227" i="21"/>
  <c r="K227" i="21"/>
  <c r="I227" i="21"/>
  <c r="F227" i="21"/>
  <c r="G227" i="21"/>
  <c r="B227" i="21"/>
  <c r="D227" i="21"/>
  <c r="C227" i="21"/>
  <c r="E227" i="21"/>
  <c r="A228" i="21"/>
  <c r="O227" i="21" l="1"/>
  <c r="AD227" i="21"/>
  <c r="AU227" i="21"/>
  <c r="AV228" i="21"/>
  <c r="AT228" i="21"/>
  <c r="U226" i="21"/>
  <c r="W226" i="21"/>
  <c r="U227" i="21"/>
  <c r="Y228" i="21"/>
  <c r="Z228" i="21"/>
  <c r="X228" i="21"/>
  <c r="AB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B228" i="21"/>
  <c r="AD228" i="21" l="1"/>
  <c r="AU228" i="21"/>
  <c r="AV229" i="21"/>
  <c r="AT229" i="21"/>
  <c r="AA228" i="21"/>
  <c r="U228" i="21" s="1"/>
  <c r="W227" i="21"/>
  <c r="AH228" i="21"/>
  <c r="AG228" i="21"/>
  <c r="AF228" i="21"/>
  <c r="AE228" i="21"/>
  <c r="AC228" i="21"/>
  <c r="X229" i="21"/>
  <c r="AB229" i="21"/>
  <c r="Y229" i="21"/>
  <c r="Z229" i="21"/>
  <c r="N229" i="21"/>
  <c r="K229" i="21"/>
  <c r="M229" i="21"/>
  <c r="L229" i="21"/>
  <c r="I229" i="21"/>
  <c r="G229" i="21"/>
  <c r="F229" i="21"/>
  <c r="A230" i="21"/>
  <c r="E229" i="21"/>
  <c r="D229" i="21"/>
  <c r="AA229" i="21" s="1"/>
  <c r="C229" i="21"/>
  <c r="B229" i="21"/>
  <c r="O229" i="21" l="1"/>
  <c r="R229" i="21"/>
  <c r="O228" i="21"/>
  <c r="R228" i="21"/>
  <c r="AD229" i="21"/>
  <c r="AU229" i="21"/>
  <c r="AV230" i="21"/>
  <c r="AT230" i="21"/>
  <c r="W228" i="21"/>
  <c r="W229" i="21"/>
  <c r="AH229" i="21"/>
  <c r="AG229" i="21"/>
  <c r="AF229" i="21"/>
  <c r="AE229" i="21"/>
  <c r="AC229" i="21"/>
  <c r="Y230" i="21"/>
  <c r="Z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C230" i="21"/>
  <c r="B230" i="21"/>
  <c r="AD230" i="21" l="1"/>
  <c r="AU230" i="21"/>
  <c r="AV231" i="21"/>
  <c r="AT231" i="21"/>
  <c r="AA230" i="21"/>
  <c r="U229" i="21"/>
  <c r="AH230" i="21"/>
  <c r="AG230" i="21"/>
  <c r="AF230" i="21"/>
  <c r="AE230" i="21"/>
  <c r="AC230" i="21"/>
  <c r="Y231" i="21"/>
  <c r="Z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A231" i="21" s="1"/>
  <c r="R231" i="21" l="1"/>
  <c r="O231" i="21"/>
  <c r="O230" i="21"/>
  <c r="R230" i="21"/>
  <c r="AD231" i="21"/>
  <c r="AU231" i="21"/>
  <c r="AV232" i="21"/>
  <c r="AT232" i="21"/>
  <c r="W230" i="21"/>
  <c r="U230" i="21"/>
  <c r="W231" i="21"/>
  <c r="AH231" i="21"/>
  <c r="AG231" i="21"/>
  <c r="AF231" i="21"/>
  <c r="AE231" i="21"/>
  <c r="AC231" i="21"/>
  <c r="AB232" i="21"/>
  <c r="Y232" i="21"/>
  <c r="Z232" i="21"/>
  <c r="X232" i="21"/>
  <c r="L232" i="21"/>
  <c r="M232" i="21"/>
  <c r="N232" i="21"/>
  <c r="G232" i="21"/>
  <c r="K232" i="21"/>
  <c r="I232" i="21"/>
  <c r="F232" i="21"/>
  <c r="A233" i="21"/>
  <c r="D232" i="21"/>
  <c r="E232" i="21"/>
  <c r="B232" i="21"/>
  <c r="C232" i="21"/>
  <c r="AD232" i="21" l="1"/>
  <c r="AU232" i="21"/>
  <c r="AA232" i="21"/>
  <c r="AV233" i="21"/>
  <c r="AT233" i="21"/>
  <c r="U231" i="21"/>
  <c r="AH232" i="21"/>
  <c r="AG232" i="21"/>
  <c r="AF232" i="21"/>
  <c r="AE232" i="21"/>
  <c r="AC232" i="21"/>
  <c r="X233" i="21"/>
  <c r="AB233" i="21"/>
  <c r="Y233" i="21"/>
  <c r="Z233" i="21"/>
  <c r="L233" i="21"/>
  <c r="M233" i="21"/>
  <c r="N233" i="21"/>
  <c r="I233" i="21"/>
  <c r="K233" i="21"/>
  <c r="G233" i="21"/>
  <c r="F233" i="21"/>
  <c r="A234" i="21"/>
  <c r="E233" i="21"/>
  <c r="D233" i="21"/>
  <c r="AA233" i="21" s="1"/>
  <c r="C233" i="21"/>
  <c r="B233" i="21"/>
  <c r="O233" i="21" l="1"/>
  <c r="R233" i="21"/>
  <c r="O232" i="21"/>
  <c r="R232" i="21"/>
  <c r="AV234" i="21"/>
  <c r="AT234" i="21"/>
  <c r="U232" i="21"/>
  <c r="AD233" i="21"/>
  <c r="AU233" i="21"/>
  <c r="W232" i="21"/>
  <c r="AH233" i="21"/>
  <c r="AG233" i="21"/>
  <c r="AF233" i="21"/>
  <c r="AE233" i="21"/>
  <c r="AC233" i="21"/>
  <c r="Y234" i="21"/>
  <c r="Z234" i="21"/>
  <c r="X234" i="21"/>
  <c r="AB234" i="21"/>
  <c r="L234" i="21"/>
  <c r="M234" i="21"/>
  <c r="N234" i="21"/>
  <c r="I234" i="21"/>
  <c r="K234" i="21"/>
  <c r="G234" i="21"/>
  <c r="F234" i="21"/>
  <c r="E234" i="21"/>
  <c r="A235" i="21"/>
  <c r="D234" i="21"/>
  <c r="C234" i="21"/>
  <c r="B234" i="21"/>
  <c r="W233" i="21"/>
  <c r="U233" i="21"/>
  <c r="AD234" i="21" l="1"/>
  <c r="AU234" i="21"/>
  <c r="AV235" i="21"/>
  <c r="AT235" i="21"/>
  <c r="AA235" i="21"/>
  <c r="O235" i="21" s="1"/>
  <c r="AA234" i="21"/>
  <c r="AH234" i="21"/>
  <c r="AG234" i="21"/>
  <c r="AF234" i="21"/>
  <c r="AE234" i="21"/>
  <c r="AC234" i="21"/>
  <c r="X235" i="21"/>
  <c r="AB235" i="21"/>
  <c r="Y235" i="21"/>
  <c r="Z235" i="21"/>
  <c r="N235" i="21"/>
  <c r="L235" i="21"/>
  <c r="M235" i="21"/>
  <c r="I235" i="21"/>
  <c r="K235" i="21"/>
  <c r="F235" i="21"/>
  <c r="G235" i="21"/>
  <c r="B235" i="21"/>
  <c r="E235" i="21"/>
  <c r="D235" i="21"/>
  <c r="C235" i="21"/>
  <c r="A236" i="21"/>
  <c r="R235" i="21" l="1"/>
  <c r="O234" i="21"/>
  <c r="R234" i="21"/>
  <c r="AV236" i="21"/>
  <c r="AT236" i="21"/>
  <c r="AD235" i="21"/>
  <c r="AU235" i="21"/>
  <c r="U234" i="21"/>
  <c r="W234" i="21"/>
  <c r="X236" i="21"/>
  <c r="AB236" i="21"/>
  <c r="Y236" i="21"/>
  <c r="Z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A236" i="21" s="1"/>
  <c r="W235" i="21"/>
  <c r="U235" i="21"/>
  <c r="R236" i="21" l="1"/>
  <c r="O236" i="21"/>
  <c r="AD236" i="21"/>
  <c r="AU236" i="21"/>
  <c r="AV237" i="21"/>
  <c r="AT237" i="21"/>
  <c r="AA237" i="21"/>
  <c r="R237" i="21" s="1"/>
  <c r="AH236" i="21"/>
  <c r="AG236" i="21"/>
  <c r="AF236" i="21"/>
  <c r="AC236" i="21"/>
  <c r="AE236" i="21"/>
  <c r="X237" i="21"/>
  <c r="AB237" i="21"/>
  <c r="Y237" i="21"/>
  <c r="Z237" i="21"/>
  <c r="M237" i="21"/>
  <c r="N237" i="21"/>
  <c r="L237" i="21"/>
  <c r="K237" i="21"/>
  <c r="I237" i="21"/>
  <c r="F237" i="21"/>
  <c r="G237" i="21"/>
  <c r="A238" i="21"/>
  <c r="D237" i="21"/>
  <c r="E237" i="21"/>
  <c r="C237" i="21"/>
  <c r="B237" i="21"/>
  <c r="O237" i="21" l="1"/>
  <c r="AD237" i="21"/>
  <c r="AU237" i="21"/>
  <c r="AV238" i="21"/>
  <c r="AT238" i="21"/>
  <c r="W237" i="21"/>
  <c r="W236" i="21"/>
  <c r="U236" i="21"/>
  <c r="AH237" i="21"/>
  <c r="AG237" i="21"/>
  <c r="AF237" i="21"/>
  <c r="AE237" i="21"/>
  <c r="AC237" i="21"/>
  <c r="Y238" i="21"/>
  <c r="Z238" i="21"/>
  <c r="X238" i="21"/>
  <c r="AB238" i="21"/>
  <c r="M238" i="21"/>
  <c r="N238" i="21"/>
  <c r="L238" i="21"/>
  <c r="K238" i="21"/>
  <c r="I238" i="21"/>
  <c r="F238" i="21"/>
  <c r="G238" i="21"/>
  <c r="E238" i="21"/>
  <c r="A239" i="21"/>
  <c r="D238" i="21"/>
  <c r="C238" i="21"/>
  <c r="B238" i="21"/>
  <c r="AD238" i="21" l="1"/>
  <c r="AU238" i="21"/>
  <c r="AA238" i="21"/>
  <c r="W238" i="21" s="1"/>
  <c r="AV239" i="21"/>
  <c r="AT239" i="21"/>
  <c r="U237" i="21"/>
  <c r="AH238" i="21"/>
  <c r="AG238" i="21"/>
  <c r="AF238" i="21"/>
  <c r="AE238" i="21"/>
  <c r="AC238" i="21"/>
  <c r="Y239" i="21"/>
  <c r="Z239" i="21"/>
  <c r="X239" i="21"/>
  <c r="AB239" i="21"/>
  <c r="M239" i="21"/>
  <c r="N239" i="21"/>
  <c r="L239" i="21"/>
  <c r="K239" i="21"/>
  <c r="I239" i="21"/>
  <c r="F239" i="21"/>
  <c r="G239" i="21"/>
  <c r="B239" i="21"/>
  <c r="E239" i="21"/>
  <c r="C239" i="21"/>
  <c r="A240" i="21"/>
  <c r="D239" i="21"/>
  <c r="AV240" i="21" l="1"/>
  <c r="AT240" i="21"/>
  <c r="R238" i="21"/>
  <c r="O238" i="21"/>
  <c r="AD239" i="21"/>
  <c r="AU239" i="21"/>
  <c r="AA239" i="21"/>
  <c r="U239" i="21" s="1"/>
  <c r="U238" i="21"/>
  <c r="AH239" i="21"/>
  <c r="AG239" i="21"/>
  <c r="AF239" i="21"/>
  <c r="AE239" i="21"/>
  <c r="AC239" i="21"/>
  <c r="Y240" i="21"/>
  <c r="Z240" i="21"/>
  <c r="X240" i="21"/>
  <c r="AB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A240" i="21" s="1"/>
  <c r="R240" i="21" l="1"/>
  <c r="O240" i="21"/>
  <c r="R239" i="21"/>
  <c r="O239" i="21"/>
  <c r="AV241" i="21"/>
  <c r="AT241" i="21"/>
  <c r="AD240" i="21"/>
  <c r="AU240" i="21"/>
  <c r="W239" i="21"/>
  <c r="W240" i="21"/>
  <c r="AH240" i="21"/>
  <c r="AG240" i="21"/>
  <c r="AF240" i="21"/>
  <c r="AE240" i="21"/>
  <c r="AC240" i="21"/>
  <c r="X241" i="21"/>
  <c r="AB241" i="21"/>
  <c r="Y241" i="21"/>
  <c r="Z241" i="21"/>
  <c r="N241" i="21"/>
  <c r="K241" i="21"/>
  <c r="M241" i="21"/>
  <c r="L241" i="21"/>
  <c r="I241" i="21"/>
  <c r="G241" i="21"/>
  <c r="F241" i="21"/>
  <c r="A242" i="21"/>
  <c r="D241" i="21"/>
  <c r="AA241" i="21" s="1"/>
  <c r="E241" i="21"/>
  <c r="C241" i="21"/>
  <c r="B241" i="21"/>
  <c r="O241" i="21" l="1"/>
  <c r="R241" i="21"/>
  <c r="AV242" i="21"/>
  <c r="AT242" i="21"/>
  <c r="AD241" i="21"/>
  <c r="AU241" i="21"/>
  <c r="U240" i="21"/>
  <c r="AH241" i="21"/>
  <c r="AG241" i="21"/>
  <c r="AF241" i="21"/>
  <c r="AE241" i="21"/>
  <c r="AC241" i="21"/>
  <c r="Y242" i="21"/>
  <c r="Z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A242" i="21" s="1"/>
  <c r="C242" i="21"/>
  <c r="B242" i="21"/>
  <c r="R242" i="21" l="1"/>
  <c r="O242" i="21"/>
  <c r="AV243" i="21"/>
  <c r="AT243" i="21"/>
  <c r="AD242" i="21"/>
  <c r="AU242" i="21"/>
  <c r="W242" i="21"/>
  <c r="AH242" i="21"/>
  <c r="AG242" i="21"/>
  <c r="AF242" i="21"/>
  <c r="AE242" i="21"/>
  <c r="AC242" i="21"/>
  <c r="Y243" i="21"/>
  <c r="Z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V244" i="21" l="1"/>
  <c r="AT244" i="21"/>
  <c r="AD243" i="21"/>
  <c r="AU243" i="21"/>
  <c r="AA243" i="21"/>
  <c r="U242" i="21"/>
  <c r="AH243" i="21"/>
  <c r="AG243" i="21"/>
  <c r="AF243" i="21"/>
  <c r="AE243" i="21"/>
  <c r="AC243" i="21"/>
  <c r="AB244" i="21"/>
  <c r="Y244" i="21"/>
  <c r="Z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l="1"/>
  <c r="AU244" i="21"/>
  <c r="R243" i="21"/>
  <c r="O243" i="21"/>
  <c r="W243" i="21"/>
  <c r="AV245" i="21"/>
  <c r="AT245" i="21"/>
  <c r="AA244" i="21"/>
  <c r="U244" i="21" s="1"/>
  <c r="U243" i="21"/>
  <c r="AH244" i="21"/>
  <c r="AG244" i="21"/>
  <c r="AF244" i="21"/>
  <c r="AE244" i="21"/>
  <c r="AC244" i="21"/>
  <c r="X245" i="21"/>
  <c r="AB245" i="21"/>
  <c r="Y245" i="21"/>
  <c r="Z245" i="21"/>
  <c r="L245" i="21"/>
  <c r="M245" i="21"/>
  <c r="N245" i="21"/>
  <c r="I245" i="21"/>
  <c r="K245" i="21"/>
  <c r="G245" i="21"/>
  <c r="F245" i="21"/>
  <c r="A246" i="21"/>
  <c r="D245" i="21"/>
  <c r="AA245" i="21" s="1"/>
  <c r="E245" i="21"/>
  <c r="C245" i="21"/>
  <c r="B245" i="21"/>
  <c r="O245" i="21" l="1"/>
  <c r="R245" i="21"/>
  <c r="AD245" i="21"/>
  <c r="AU245" i="21"/>
  <c r="AV246" i="21"/>
  <c r="AT246" i="21"/>
  <c r="R244" i="21"/>
  <c r="O244" i="21"/>
  <c r="W244" i="21"/>
  <c r="AH245" i="21"/>
  <c r="AG245" i="21"/>
  <c r="AF245" i="21"/>
  <c r="AE245" i="21"/>
  <c r="AC245" i="21"/>
  <c r="Y246" i="21"/>
  <c r="Z246" i="21"/>
  <c r="X246" i="21"/>
  <c r="AB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C246" i="21"/>
  <c r="B246" i="21"/>
  <c r="AD246" i="21" l="1"/>
  <c r="AU246" i="21"/>
  <c r="AA246" i="21"/>
  <c r="U246" i="21" s="1"/>
  <c r="AV247" i="21"/>
  <c r="AT247" i="21"/>
  <c r="AH246" i="21"/>
  <c r="AG246" i="21"/>
  <c r="AF246" i="21"/>
  <c r="AE246" i="21"/>
  <c r="AC246" i="21"/>
  <c r="X247" i="21"/>
  <c r="AB247" i="21"/>
  <c r="Y247" i="21"/>
  <c r="Z247" i="21"/>
  <c r="N247" i="21"/>
  <c r="L247" i="21"/>
  <c r="M247" i="21"/>
  <c r="I247" i="21"/>
  <c r="K247" i="21"/>
  <c r="F247" i="21"/>
  <c r="G247" i="21"/>
  <c r="B247" i="21"/>
  <c r="E247" i="21"/>
  <c r="C247" i="21"/>
  <c r="A248" i="21"/>
  <c r="D247" i="21"/>
  <c r="AA247" i="21" s="1"/>
  <c r="O247" i="21" l="1"/>
  <c r="R247" i="21"/>
  <c r="O246" i="21"/>
  <c r="R246" i="21"/>
  <c r="AD247" i="21"/>
  <c r="AU247" i="21"/>
  <c r="AV248" i="21"/>
  <c r="AT248" i="21"/>
  <c r="W246" i="21"/>
  <c r="W247" i="21"/>
  <c r="AH247" i="21"/>
  <c r="AG247" i="21"/>
  <c r="AF247" i="21"/>
  <c r="AE247" i="21"/>
  <c r="AC247" i="21"/>
  <c r="X248" i="21"/>
  <c r="AB248" i="21"/>
  <c r="Y248" i="21"/>
  <c r="Z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l="1"/>
  <c r="AU248" i="21"/>
  <c r="AV249" i="21"/>
  <c r="AA249" i="21"/>
  <c r="R249" i="21" s="1"/>
  <c r="AT249" i="21"/>
  <c r="AA248" i="21"/>
  <c r="U247" i="21"/>
  <c r="AH248" i="21"/>
  <c r="AG248" i="21"/>
  <c r="AF248" i="21"/>
  <c r="AC248" i="21"/>
  <c r="AE248" i="21"/>
  <c r="X249" i="21"/>
  <c r="AB249" i="21"/>
  <c r="Y249" i="21"/>
  <c r="Z249" i="21"/>
  <c r="M249" i="21"/>
  <c r="N249" i="21"/>
  <c r="L249" i="21"/>
  <c r="I249" i="21"/>
  <c r="K249" i="21"/>
  <c r="G249" i="21"/>
  <c r="F249" i="21"/>
  <c r="A250" i="21"/>
  <c r="D249" i="21"/>
  <c r="E249" i="21"/>
  <c r="C249" i="21"/>
  <c r="B249" i="21"/>
  <c r="O249" i="21" l="1"/>
  <c r="AD249" i="21"/>
  <c r="AU249" i="21"/>
  <c r="AV250" i="21"/>
  <c r="AT250" i="21"/>
  <c r="O248" i="21"/>
  <c r="R248" i="21"/>
  <c r="W248" i="21"/>
  <c r="U248" i="21"/>
  <c r="AH249" i="21"/>
  <c r="AG249" i="21"/>
  <c r="AF249" i="21"/>
  <c r="AE249" i="21"/>
  <c r="AC249" i="21"/>
  <c r="Y250" i="21"/>
  <c r="Z250" i="21"/>
  <c r="X250" i="21"/>
  <c r="AB250" i="21"/>
  <c r="M250" i="21"/>
  <c r="N250" i="21"/>
  <c r="L250" i="21"/>
  <c r="K250" i="21"/>
  <c r="I250" i="21"/>
  <c r="G250" i="21"/>
  <c r="F250" i="21"/>
  <c r="E250" i="21"/>
  <c r="A251" i="21"/>
  <c r="D250" i="21"/>
  <c r="AA250" i="21" s="1"/>
  <c r="C250" i="21"/>
  <c r="B250" i="21"/>
  <c r="O250" i="21" l="1"/>
  <c r="R250" i="21"/>
  <c r="AV251" i="21"/>
  <c r="AT251" i="21"/>
  <c r="AD250" i="21"/>
  <c r="AU250" i="21"/>
  <c r="U249" i="21"/>
  <c r="W249" i="21"/>
  <c r="U250" i="21"/>
  <c r="AH250" i="21"/>
  <c r="AG250" i="21"/>
  <c r="AF250" i="21"/>
  <c r="AE250" i="21"/>
  <c r="AC250" i="21"/>
  <c r="Y251" i="21"/>
  <c r="Z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A251" i="21" s="1"/>
  <c r="O251" i="21" l="1"/>
  <c r="R251" i="21"/>
  <c r="AV252" i="21"/>
  <c r="AT252" i="21"/>
  <c r="AD251" i="21"/>
  <c r="AU251" i="21"/>
  <c r="W250" i="21"/>
  <c r="U251" i="21"/>
  <c r="AH251" i="21"/>
  <c r="AG251" i="21"/>
  <c r="AF251" i="21"/>
  <c r="AE251" i="21"/>
  <c r="AC251" i="21"/>
  <c r="Y252" i="21"/>
  <c r="Z252" i="21"/>
  <c r="X252" i="21"/>
  <c r="AB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A252" i="21" s="1"/>
  <c r="O252" i="21" l="1"/>
  <c r="R252" i="21"/>
  <c r="AV253" i="21"/>
  <c r="AT253" i="21"/>
  <c r="AD252" i="21"/>
  <c r="AU252" i="21"/>
  <c r="W251" i="21"/>
  <c r="W252" i="21"/>
  <c r="AH252" i="21"/>
  <c r="AG252" i="21"/>
  <c r="AF252" i="21"/>
  <c r="AE252" i="21"/>
  <c r="AC252" i="21"/>
  <c r="X253" i="21"/>
  <c r="AB253" i="21"/>
  <c r="Y253" i="21"/>
  <c r="Z253" i="21"/>
  <c r="N253" i="21"/>
  <c r="K253" i="21"/>
  <c r="M253" i="21"/>
  <c r="L253" i="21"/>
  <c r="I253" i="21"/>
  <c r="G253" i="21"/>
  <c r="F253" i="21"/>
  <c r="A254" i="21"/>
  <c r="D253" i="21"/>
  <c r="AA253" i="21" s="1"/>
  <c r="E253" i="21"/>
  <c r="C253" i="21"/>
  <c r="B253" i="21"/>
  <c r="O253" i="21" l="1"/>
  <c r="R253" i="21"/>
  <c r="AV254" i="21"/>
  <c r="AT254" i="21"/>
  <c r="AD253" i="21"/>
  <c r="AU253" i="21"/>
  <c r="U252" i="21"/>
  <c r="U253" i="21"/>
  <c r="AH253" i="21"/>
  <c r="AG253" i="21"/>
  <c r="AF253" i="21"/>
  <c r="AE253" i="21"/>
  <c r="AC253" i="21"/>
  <c r="Y254" i="21"/>
  <c r="Z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C254" i="21"/>
  <c r="B254" i="21"/>
  <c r="AD254" i="21" l="1"/>
  <c r="AU254" i="21"/>
  <c r="AV255" i="21"/>
  <c r="AT255" i="21"/>
  <c r="AA254" i="21"/>
  <c r="W253" i="21"/>
  <c r="AH254" i="21"/>
  <c r="AG254" i="21"/>
  <c r="AF254" i="21"/>
  <c r="AE254" i="21"/>
  <c r="AC254" i="21"/>
  <c r="Y255" i="21"/>
  <c r="Z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O254" i="21" l="1"/>
  <c r="R254" i="21"/>
  <c r="AD255" i="21"/>
  <c r="AU255" i="21"/>
  <c r="AA255" i="21"/>
  <c r="W255" i="21" s="1"/>
  <c r="AV256" i="21"/>
  <c r="AT256" i="21"/>
  <c r="U254" i="21"/>
  <c r="W254" i="21"/>
  <c r="AH255" i="21"/>
  <c r="AG255" i="21"/>
  <c r="AF255" i="21"/>
  <c r="AE255" i="21"/>
  <c r="AC255" i="21"/>
  <c r="AB256" i="21"/>
  <c r="Y256" i="21"/>
  <c r="Z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A256" i="21" s="1"/>
  <c r="R256" i="21" l="1"/>
  <c r="O256" i="21"/>
  <c r="R255" i="21"/>
  <c r="O255" i="21"/>
  <c r="AV257" i="21"/>
  <c r="AT257" i="21"/>
  <c r="AD256" i="21"/>
  <c r="AU256" i="21"/>
  <c r="U255" i="21"/>
  <c r="U256" i="21"/>
  <c r="AH256" i="21"/>
  <c r="AG256" i="21"/>
  <c r="AF256" i="21"/>
  <c r="AE256" i="21"/>
  <c r="AC256" i="21"/>
  <c r="X257" i="21"/>
  <c r="AB257" i="21"/>
  <c r="Y257" i="21"/>
  <c r="Z257" i="21"/>
  <c r="L257" i="21"/>
  <c r="M257" i="21"/>
  <c r="N257" i="21"/>
  <c r="I257" i="21"/>
  <c r="K257" i="21"/>
  <c r="G257" i="21"/>
  <c r="F257" i="21"/>
  <c r="A258" i="21"/>
  <c r="D257" i="21"/>
  <c r="E257" i="21"/>
  <c r="C257" i="21"/>
  <c r="B257" i="21"/>
  <c r="AD257" i="21" l="1"/>
  <c r="AU257" i="21"/>
  <c r="AA257" i="21"/>
  <c r="W257" i="21" s="1"/>
  <c r="AV258" i="21"/>
  <c r="AT258" i="21"/>
  <c r="W256" i="21"/>
  <c r="AH257" i="21"/>
  <c r="AG257" i="21"/>
  <c r="AF257" i="21"/>
  <c r="AE257" i="21"/>
  <c r="AC257" i="21"/>
  <c r="Y258" i="21"/>
  <c r="Z258" i="21"/>
  <c r="X258" i="21"/>
  <c r="AB258" i="21"/>
  <c r="L258" i="21"/>
  <c r="M258" i="21"/>
  <c r="N258" i="21"/>
  <c r="I258" i="21"/>
  <c r="K258" i="21"/>
  <c r="G258" i="21"/>
  <c r="F258" i="21"/>
  <c r="E258" i="21"/>
  <c r="A259" i="21"/>
  <c r="D258" i="21"/>
  <c r="AA258" i="21" s="1"/>
  <c r="C258" i="21"/>
  <c r="B258" i="21"/>
  <c r="R258" i="21" l="1"/>
  <c r="O258" i="21"/>
  <c r="AD258" i="21"/>
  <c r="AU258" i="21"/>
  <c r="R257" i="21"/>
  <c r="O257" i="21"/>
  <c r="AV259" i="21"/>
  <c r="AT259" i="21"/>
  <c r="U257" i="21"/>
  <c r="W258" i="21"/>
  <c r="AH258" i="21"/>
  <c r="AG258" i="21"/>
  <c r="AF258" i="21"/>
  <c r="AE258" i="21"/>
  <c r="AC258" i="21"/>
  <c r="X259" i="21"/>
  <c r="AB259" i="21"/>
  <c r="Y259" i="21"/>
  <c r="Z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l="1"/>
  <c r="AU259" i="21"/>
  <c r="AA259" i="21"/>
  <c r="AV260" i="21"/>
  <c r="AT260" i="21"/>
  <c r="U258" i="21"/>
  <c r="AH259" i="21"/>
  <c r="AG259" i="21"/>
  <c r="AF259" i="21"/>
  <c r="AE259" i="21"/>
  <c r="AC259" i="21"/>
  <c r="X260" i="21"/>
  <c r="AB260" i="21"/>
  <c r="Y260" i="21"/>
  <c r="Z260" i="21"/>
  <c r="M260" i="21"/>
  <c r="N260" i="21"/>
  <c r="L260" i="21"/>
  <c r="I260" i="21"/>
  <c r="K260" i="21"/>
  <c r="F260" i="21"/>
  <c r="G260" i="21"/>
  <c r="C260" i="21"/>
  <c r="B260" i="21"/>
  <c r="E260" i="21"/>
  <c r="A261" i="21"/>
  <c r="D260" i="21"/>
  <c r="AA260" i="21" s="1"/>
  <c r="R260" i="21" l="1"/>
  <c r="O260" i="21"/>
  <c r="R259" i="21"/>
  <c r="O259" i="21"/>
  <c r="AD260" i="21"/>
  <c r="AU260" i="21"/>
  <c r="AV261" i="21"/>
  <c r="AT261" i="21"/>
  <c r="U259" i="21"/>
  <c r="W259" i="21"/>
  <c r="AH260" i="21"/>
  <c r="AG260" i="21"/>
  <c r="AF260" i="21"/>
  <c r="AC260" i="21"/>
  <c r="AE260" i="21"/>
  <c r="X261" i="21"/>
  <c r="AB261" i="21"/>
  <c r="Y261" i="21"/>
  <c r="Z261" i="21"/>
  <c r="M261" i="21"/>
  <c r="N261" i="21"/>
  <c r="L261" i="21"/>
  <c r="I261" i="21"/>
  <c r="K261" i="21"/>
  <c r="F261" i="21"/>
  <c r="G261" i="21"/>
  <c r="A262" i="21"/>
  <c r="D261" i="21"/>
  <c r="E261" i="21"/>
  <c r="C261" i="21"/>
  <c r="B261" i="21"/>
  <c r="AV262" i="21" l="1"/>
  <c r="AT262" i="21"/>
  <c r="AD261" i="21"/>
  <c r="AU261" i="21"/>
  <c r="AA261" i="21"/>
  <c r="W260" i="21"/>
  <c r="U260" i="21"/>
  <c r="AH261" i="21"/>
  <c r="AG261" i="21"/>
  <c r="AF261" i="21"/>
  <c r="AE261" i="21"/>
  <c r="AC261" i="21"/>
  <c r="Y262" i="21"/>
  <c r="Z262" i="21"/>
  <c r="X262" i="21"/>
  <c r="AB262" i="21"/>
  <c r="M262" i="21"/>
  <c r="N262" i="21"/>
  <c r="L262" i="21"/>
  <c r="I262" i="21"/>
  <c r="K262" i="21"/>
  <c r="F262" i="21"/>
  <c r="G262" i="21"/>
  <c r="E262" i="21"/>
  <c r="A263" i="21"/>
  <c r="D262" i="21"/>
  <c r="AA262" i="21" s="1"/>
  <c r="C262" i="21"/>
  <c r="B262" i="21"/>
  <c r="O262" i="21" l="1"/>
  <c r="R262" i="21"/>
  <c r="O261" i="21"/>
  <c r="R261" i="21"/>
  <c r="AD262" i="21"/>
  <c r="AU262" i="21"/>
  <c r="AV263" i="21"/>
  <c r="AT263" i="21"/>
  <c r="U261" i="21"/>
  <c r="W261" i="21"/>
  <c r="AH262" i="21"/>
  <c r="AG262" i="21"/>
  <c r="AF262" i="21"/>
  <c r="AE262" i="21"/>
  <c r="AC262" i="21"/>
  <c r="Y263" i="21"/>
  <c r="Z263" i="21"/>
  <c r="X263" i="21"/>
  <c r="AB263" i="21"/>
  <c r="M263" i="21"/>
  <c r="N263" i="21"/>
  <c r="L263" i="21"/>
  <c r="K263" i="21"/>
  <c r="I263" i="21"/>
  <c r="F263" i="21"/>
  <c r="G263" i="21"/>
  <c r="B263" i="21"/>
  <c r="E263" i="21"/>
  <c r="C263" i="21"/>
  <c r="A264" i="21"/>
  <c r="D263" i="21"/>
  <c r="AD263" i="21" l="1"/>
  <c r="AU263" i="21"/>
  <c r="AV264" i="21"/>
  <c r="AT264" i="21"/>
  <c r="AA263" i="21"/>
  <c r="U262" i="21"/>
  <c r="W262" i="21"/>
  <c r="AH263" i="21"/>
  <c r="AG263" i="21"/>
  <c r="AF263" i="21"/>
  <c r="AE263" i="21"/>
  <c r="AC263" i="21"/>
  <c r="Y264" i="21"/>
  <c r="Z264" i="21"/>
  <c r="X264" i="21"/>
  <c r="AB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A264" i="21" s="1"/>
  <c r="O264" i="21" l="1"/>
  <c r="R264" i="21"/>
  <c r="AD264" i="21"/>
  <c r="AU264" i="21"/>
  <c r="O263" i="21"/>
  <c r="R263" i="21"/>
  <c r="AV265" i="21"/>
  <c r="AA265" i="21"/>
  <c r="O265" i="21" s="1"/>
  <c r="AT265" i="21"/>
  <c r="W263" i="21"/>
  <c r="U263" i="21"/>
  <c r="AH264" i="21"/>
  <c r="AG264" i="21"/>
  <c r="AF264" i="21"/>
  <c r="AE264" i="21"/>
  <c r="AC264" i="21"/>
  <c r="X265" i="21"/>
  <c r="AB265" i="21"/>
  <c r="Y265" i="21"/>
  <c r="Z265" i="21"/>
  <c r="N265" i="21"/>
  <c r="K265" i="21"/>
  <c r="M265" i="21"/>
  <c r="L265" i="21"/>
  <c r="I265" i="21"/>
  <c r="G265" i="21"/>
  <c r="F265" i="21"/>
  <c r="A266" i="21"/>
  <c r="D265" i="21"/>
  <c r="E265" i="21"/>
  <c r="C265" i="21"/>
  <c r="B265" i="21"/>
  <c r="AD265" i="21" l="1"/>
  <c r="AU265" i="21"/>
  <c r="AV266" i="21"/>
  <c r="AT266" i="21"/>
  <c r="R265" i="21"/>
  <c r="W264" i="21"/>
  <c r="U264" i="21"/>
  <c r="AH265" i="21"/>
  <c r="AG265" i="21"/>
  <c r="AF265" i="21"/>
  <c r="AE265" i="21"/>
  <c r="AC265" i="21"/>
  <c r="Y266" i="21"/>
  <c r="Z266" i="21"/>
  <c r="X266" i="21"/>
  <c r="AB266" i="21"/>
  <c r="L266" i="21"/>
  <c r="M266" i="21"/>
  <c r="N266" i="21"/>
  <c r="K266" i="21"/>
  <c r="I266" i="21"/>
  <c r="G266" i="21"/>
  <c r="F266" i="21"/>
  <c r="E266" i="21"/>
  <c r="A267" i="21"/>
  <c r="D266" i="21"/>
  <c r="C266" i="21"/>
  <c r="B266" i="21"/>
  <c r="AD266" i="21" l="1"/>
  <c r="AU266" i="21"/>
  <c r="AV267" i="21"/>
  <c r="AT267" i="21"/>
  <c r="AA266" i="21"/>
  <c r="U265" i="21"/>
  <c r="W265" i="21"/>
  <c r="AH266" i="21"/>
  <c r="AG266" i="21"/>
  <c r="AF266" i="21"/>
  <c r="AE266" i="21"/>
  <c r="AC266" i="21"/>
  <c r="Y267" i="21"/>
  <c r="Z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A267" i="21" s="1"/>
  <c r="O267" i="21" l="1"/>
  <c r="R267" i="21"/>
  <c r="O266" i="21"/>
  <c r="R266" i="21"/>
  <c r="AD267" i="21"/>
  <c r="AU267" i="21"/>
  <c r="AV268" i="21"/>
  <c r="AT268" i="21"/>
  <c r="W266" i="21"/>
  <c r="U266" i="21"/>
  <c r="AH267" i="21"/>
  <c r="AG267" i="21"/>
  <c r="AF267" i="21"/>
  <c r="AE267" i="21"/>
  <c r="AC267" i="21"/>
  <c r="AB268" i="21"/>
  <c r="Y268" i="21"/>
  <c r="Z268" i="21"/>
  <c r="X268" i="21"/>
  <c r="L268" i="21"/>
  <c r="M268" i="21"/>
  <c r="N268" i="21"/>
  <c r="G268" i="21"/>
  <c r="K268" i="21"/>
  <c r="I268" i="21"/>
  <c r="F268" i="21"/>
  <c r="C268" i="21"/>
  <c r="B268" i="21"/>
  <c r="E268" i="21"/>
  <c r="A269" i="21"/>
  <c r="D268" i="21"/>
  <c r="AA268" i="21" s="1"/>
  <c r="O268" i="21" l="1"/>
  <c r="R268" i="21"/>
  <c r="AV269" i="21"/>
  <c r="AT269" i="21"/>
  <c r="AD268" i="21"/>
  <c r="AU268" i="21"/>
  <c r="U267" i="21"/>
  <c r="W267" i="21"/>
  <c r="W268" i="21"/>
  <c r="AH268" i="21"/>
  <c r="AG268" i="21"/>
  <c r="AF268" i="21"/>
  <c r="AE268" i="21"/>
  <c r="AC268" i="21"/>
  <c r="X269" i="21"/>
  <c r="AB269" i="21"/>
  <c r="Y269" i="21"/>
  <c r="Z269" i="21"/>
  <c r="L269" i="21"/>
  <c r="M269" i="21"/>
  <c r="N269" i="21"/>
  <c r="I269" i="21"/>
  <c r="K269" i="21"/>
  <c r="G269" i="21"/>
  <c r="F269" i="21"/>
  <c r="A270" i="21"/>
  <c r="D269" i="21"/>
  <c r="AA269" i="21" s="1"/>
  <c r="E269" i="21"/>
  <c r="C269" i="21"/>
  <c r="B269" i="21"/>
  <c r="O269" i="21" l="1"/>
  <c r="R269" i="21"/>
  <c r="AV270" i="21"/>
  <c r="AT270" i="21"/>
  <c r="AD269" i="21"/>
  <c r="AU269" i="21"/>
  <c r="U268" i="21"/>
  <c r="AH269" i="21"/>
  <c r="AG269" i="21"/>
  <c r="AF269" i="21"/>
  <c r="AE269" i="21"/>
  <c r="AC269" i="21"/>
  <c r="Y270" i="21"/>
  <c r="Z270" i="21"/>
  <c r="X270" i="21"/>
  <c r="AB270" i="21"/>
  <c r="L270" i="21"/>
  <c r="M270" i="21"/>
  <c r="N270" i="21"/>
  <c r="I270" i="21"/>
  <c r="K270" i="21"/>
  <c r="G270" i="21"/>
  <c r="F270" i="21"/>
  <c r="E270" i="21"/>
  <c r="D270" i="21"/>
  <c r="AA270" i="21" s="1"/>
  <c r="A271" i="21"/>
  <c r="C270" i="21"/>
  <c r="B270" i="21"/>
  <c r="R270" i="21" l="1"/>
  <c r="O270" i="21"/>
  <c r="AV271" i="21"/>
  <c r="AT271" i="21"/>
  <c r="AD270" i="21"/>
  <c r="AU270" i="21"/>
  <c r="U269" i="21"/>
  <c r="W269" i="21"/>
  <c r="W270" i="21"/>
  <c r="X271" i="21"/>
  <c r="AB271" i="21"/>
  <c r="Y271" i="21"/>
  <c r="Z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C271" i="21"/>
  <c r="A272" i="21"/>
  <c r="B271" i="21"/>
  <c r="D271" i="21"/>
  <c r="E271" i="21"/>
  <c r="AV272" i="21" l="1"/>
  <c r="AT272" i="21"/>
  <c r="AD271" i="21"/>
  <c r="AU271" i="21"/>
  <c r="AA271" i="21"/>
  <c r="U270" i="21"/>
  <c r="AH271" i="21"/>
  <c r="AG271" i="21"/>
  <c r="AF271" i="21"/>
  <c r="AE271" i="21"/>
  <c r="AC271" i="21"/>
  <c r="X272" i="21"/>
  <c r="AB272" i="21"/>
  <c r="Y272" i="21"/>
  <c r="Z272" i="21"/>
  <c r="M272" i="21"/>
  <c r="N272" i="21"/>
  <c r="L272" i="21"/>
  <c r="I272" i="21"/>
  <c r="K272" i="21"/>
  <c r="F272" i="21"/>
  <c r="G272" i="21"/>
  <c r="C272" i="21"/>
  <c r="A273" i="21"/>
  <c r="B272" i="21"/>
  <c r="D272" i="21"/>
  <c r="AA272" i="21" s="1"/>
  <c r="E272" i="21"/>
  <c r="O272" i="21" l="1"/>
  <c r="R272" i="21"/>
  <c r="O271" i="21"/>
  <c r="R271" i="21"/>
  <c r="AV273" i="21"/>
  <c r="AT273" i="21"/>
  <c r="AD272" i="21"/>
  <c r="AU272" i="21"/>
  <c r="U271" i="21"/>
  <c r="W271" i="21"/>
  <c r="W272" i="21"/>
  <c r="AH272" i="21"/>
  <c r="AG272" i="21"/>
  <c r="AF272" i="21"/>
  <c r="AC272" i="21"/>
  <c r="AE272" i="21"/>
  <c r="X273" i="21"/>
  <c r="AB273" i="21"/>
  <c r="Y273" i="21"/>
  <c r="Z273" i="21"/>
  <c r="M273" i="21"/>
  <c r="N273" i="21"/>
  <c r="L273" i="21"/>
  <c r="I273" i="21"/>
  <c r="K273" i="21"/>
  <c r="F273" i="21"/>
  <c r="G273" i="21"/>
  <c r="A274" i="21"/>
  <c r="D273" i="21"/>
  <c r="B273" i="21"/>
  <c r="E273" i="21"/>
  <c r="C273" i="21"/>
  <c r="AD273" i="21" l="1"/>
  <c r="AU273" i="21"/>
  <c r="AA273" i="21"/>
  <c r="AV274" i="21"/>
  <c r="AT274" i="21"/>
  <c r="AA274" i="21"/>
  <c r="R274" i="21" s="1"/>
  <c r="O274" i="21"/>
  <c r="U272" i="21"/>
  <c r="AH273" i="21"/>
  <c r="AG273" i="21"/>
  <c r="AF273" i="21"/>
  <c r="AE273" i="21"/>
  <c r="AC273" i="21"/>
  <c r="Y274" i="21"/>
  <c r="Z274" i="21"/>
  <c r="X274" i="21"/>
  <c r="AB274" i="21"/>
  <c r="M274" i="21"/>
  <c r="N274" i="21"/>
  <c r="L274" i="21"/>
  <c r="I274" i="21"/>
  <c r="K274" i="21"/>
  <c r="F274" i="21"/>
  <c r="G274" i="21"/>
  <c r="A275" i="21"/>
  <c r="B274" i="21"/>
  <c r="C274" i="21"/>
  <c r="D274" i="21"/>
  <c r="E274" i="21"/>
  <c r="O273" i="21" l="1"/>
  <c r="R273" i="21"/>
  <c r="AD274" i="21"/>
  <c r="AU274" i="21"/>
  <c r="AV275" i="21"/>
  <c r="AA275" i="21"/>
  <c r="O275" i="21" s="1"/>
  <c r="AT275" i="21"/>
  <c r="U273" i="21"/>
  <c r="W273" i="21"/>
  <c r="AH274" i="21"/>
  <c r="AG274" i="21"/>
  <c r="AF274" i="21"/>
  <c r="AE274" i="21"/>
  <c r="AC274" i="21"/>
  <c r="Y275" i="21"/>
  <c r="Z275" i="21"/>
  <c r="X275" i="21"/>
  <c r="AB275" i="21"/>
  <c r="M275" i="21"/>
  <c r="N275" i="21"/>
  <c r="L275" i="21"/>
  <c r="I275" i="21"/>
  <c r="K275" i="21"/>
  <c r="F275" i="21"/>
  <c r="G275" i="21"/>
  <c r="A276" i="21"/>
  <c r="D275" i="21"/>
  <c r="E275" i="21"/>
  <c r="C275" i="21"/>
  <c r="B275" i="21"/>
  <c r="R275" i="21" l="1"/>
  <c r="AD275" i="21"/>
  <c r="AU275" i="21"/>
  <c r="AV276" i="21"/>
  <c r="AT276" i="21"/>
  <c r="W274" i="21"/>
  <c r="U274" i="21"/>
  <c r="AH275" i="21"/>
  <c r="AG275" i="21"/>
  <c r="AF275" i="21"/>
  <c r="AE275" i="21"/>
  <c r="AC275" i="21"/>
  <c r="Y276" i="21"/>
  <c r="Z276" i="21"/>
  <c r="X276" i="21"/>
  <c r="AB276" i="21"/>
  <c r="M276" i="21"/>
  <c r="N276" i="21"/>
  <c r="L276" i="21"/>
  <c r="K276" i="21"/>
  <c r="I276" i="21"/>
  <c r="F276" i="21"/>
  <c r="G276" i="21"/>
  <c r="E276" i="21"/>
  <c r="A277" i="21"/>
  <c r="D276" i="21"/>
  <c r="C276" i="21"/>
  <c r="B276" i="21"/>
  <c r="AD276" i="21" l="1"/>
  <c r="AU276" i="21"/>
  <c r="AA276" i="21"/>
  <c r="AV277" i="21"/>
  <c r="AT277" i="21"/>
  <c r="W275" i="21"/>
  <c r="U275" i="21"/>
  <c r="AH276" i="21"/>
  <c r="AG276" i="21"/>
  <c r="AF276" i="21"/>
  <c r="AE276" i="21"/>
  <c r="AC276" i="21"/>
  <c r="X277" i="21"/>
  <c r="AB277" i="21"/>
  <c r="Y277" i="21"/>
  <c r="Z277" i="21"/>
  <c r="N277" i="21"/>
  <c r="K277" i="21"/>
  <c r="M277" i="21"/>
  <c r="L277" i="21"/>
  <c r="I277" i="21"/>
  <c r="G277" i="21"/>
  <c r="F277" i="21"/>
  <c r="A278" i="21"/>
  <c r="D277" i="21"/>
  <c r="AA277" i="21" s="1"/>
  <c r="E277" i="21"/>
  <c r="B277" i="21"/>
  <c r="C277" i="21"/>
  <c r="O277" i="21" l="1"/>
  <c r="R277" i="21"/>
  <c r="O276" i="21"/>
  <c r="R276" i="21"/>
  <c r="AD277" i="21"/>
  <c r="AU277" i="21"/>
  <c r="AV278" i="21"/>
  <c r="AT278" i="21"/>
  <c r="U276" i="21"/>
  <c r="W276" i="21"/>
  <c r="AH277" i="21"/>
  <c r="AG277" i="21"/>
  <c r="AF277" i="21"/>
  <c r="AE277" i="21"/>
  <c r="AC277" i="21"/>
  <c r="Y278" i="21"/>
  <c r="Z278" i="21"/>
  <c r="X278" i="21"/>
  <c r="AB278" i="21"/>
  <c r="L278" i="21"/>
  <c r="M278" i="21"/>
  <c r="N278" i="21"/>
  <c r="K278" i="21"/>
  <c r="I278" i="21"/>
  <c r="G278" i="21"/>
  <c r="F278" i="21"/>
  <c r="D278" i="21"/>
  <c r="AA278" i="21" s="1"/>
  <c r="C278" i="21"/>
  <c r="B278" i="21"/>
  <c r="A279" i="21"/>
  <c r="E278" i="21"/>
  <c r="O278" i="21" l="1"/>
  <c r="R278" i="21"/>
  <c r="AD278" i="21"/>
  <c r="AU278" i="21"/>
  <c r="AV279" i="21"/>
  <c r="AT279" i="21"/>
  <c r="U277" i="21"/>
  <c r="W277" i="21"/>
  <c r="Y279" i="21"/>
  <c r="Z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B279" i="21"/>
  <c r="A280" i="21"/>
  <c r="AD279" i="21" l="1"/>
  <c r="AU279" i="21"/>
  <c r="AA279" i="21"/>
  <c r="W279" i="21" s="1"/>
  <c r="AV280" i="21"/>
  <c r="AT280" i="21"/>
  <c r="U278" i="21"/>
  <c r="W278" i="21"/>
  <c r="AB280" i="21"/>
  <c r="Y280" i="21"/>
  <c r="Z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A281" i="21"/>
  <c r="B280" i="21"/>
  <c r="E280" i="21"/>
  <c r="C280" i="21"/>
  <c r="D280" i="21"/>
  <c r="AA280" i="21" s="1"/>
  <c r="O280" i="21" l="1"/>
  <c r="R280" i="21"/>
  <c r="AD280" i="21"/>
  <c r="AU280" i="21"/>
  <c r="AV281" i="21"/>
  <c r="AT281" i="21"/>
  <c r="R279" i="21"/>
  <c r="O279" i="21"/>
  <c r="U279" i="21"/>
  <c r="W280" i="21"/>
  <c r="AH280" i="21"/>
  <c r="AG280" i="21"/>
  <c r="AE280" i="21"/>
  <c r="AF280" i="21"/>
  <c r="AC280" i="21"/>
  <c r="X281" i="21"/>
  <c r="AB281" i="21"/>
  <c r="Y281" i="21"/>
  <c r="Z281" i="21"/>
  <c r="L281" i="21"/>
  <c r="M281" i="21"/>
  <c r="N281" i="21"/>
  <c r="I281" i="21"/>
  <c r="K281" i="21"/>
  <c r="G281" i="21"/>
  <c r="F281" i="21"/>
  <c r="A282" i="21"/>
  <c r="D281" i="21"/>
  <c r="AA281" i="21" s="1"/>
  <c r="E281" i="21"/>
  <c r="C281" i="21"/>
  <c r="B281" i="21"/>
  <c r="O281" i="21" l="1"/>
  <c r="R281" i="21"/>
  <c r="AD281" i="21"/>
  <c r="AU281" i="21"/>
  <c r="AV282" i="21"/>
  <c r="AA282" i="21"/>
  <c r="R282" i="21" s="1"/>
  <c r="AT282" i="21"/>
  <c r="U280" i="21"/>
  <c r="AH281" i="21"/>
  <c r="AG281" i="21"/>
  <c r="AF281" i="21"/>
  <c r="AE281" i="21"/>
  <c r="AC281" i="21"/>
  <c r="Y282" i="21"/>
  <c r="Z282" i="21"/>
  <c r="X282" i="21"/>
  <c r="AB282" i="21"/>
  <c r="L282" i="21"/>
  <c r="M282" i="21"/>
  <c r="N282" i="21"/>
  <c r="I282" i="21"/>
  <c r="K282" i="21"/>
  <c r="G282" i="21"/>
  <c r="F282" i="21"/>
  <c r="E282" i="21"/>
  <c r="A283" i="21"/>
  <c r="D282" i="21"/>
  <c r="C282" i="21"/>
  <c r="B282" i="21"/>
  <c r="O282" i="21" l="1"/>
  <c r="AV283" i="21"/>
  <c r="AT283" i="21"/>
  <c r="AD282" i="21"/>
  <c r="AU282" i="21"/>
  <c r="U281" i="21"/>
  <c r="W281" i="21"/>
  <c r="AH282" i="21"/>
  <c r="AG282" i="21"/>
  <c r="AF282" i="21"/>
  <c r="AE282" i="21"/>
  <c r="AC282" i="21"/>
  <c r="X283" i="21"/>
  <c r="AB283" i="21"/>
  <c r="Y283" i="21"/>
  <c r="Z283" i="21"/>
  <c r="N283" i="21"/>
  <c r="L283" i="21"/>
  <c r="M283" i="21"/>
  <c r="I283" i="21"/>
  <c r="K283" i="21"/>
  <c r="F283" i="21"/>
  <c r="G283" i="21"/>
  <c r="E283" i="21"/>
  <c r="D283" i="21"/>
  <c r="B283" i="21"/>
  <c r="C283" i="21"/>
  <c r="A284" i="21"/>
  <c r="AV284" i="21" l="1"/>
  <c r="AT284" i="21"/>
  <c r="AD283" i="21"/>
  <c r="AU283" i="21"/>
  <c r="AA283" i="21"/>
  <c r="U282" i="21"/>
  <c r="W282" i="21"/>
  <c r="X284" i="21"/>
  <c r="AB284" i="21"/>
  <c r="Y284" i="21"/>
  <c r="Z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E284" i="21"/>
  <c r="D284" i="21"/>
  <c r="C284" i="21"/>
  <c r="A285" i="21"/>
  <c r="B284" i="21"/>
  <c r="O283" i="21" l="1"/>
  <c r="R283" i="21"/>
  <c r="AV285" i="21"/>
  <c r="AT285" i="21"/>
  <c r="AD284" i="21"/>
  <c r="AU284" i="21"/>
  <c r="AA284" i="21"/>
  <c r="W284" i="21" s="1"/>
  <c r="W283" i="21"/>
  <c r="U283" i="21"/>
  <c r="X285" i="21"/>
  <c r="AB285" i="21"/>
  <c r="Y285" i="21"/>
  <c r="Z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E285" i="21"/>
  <c r="C285" i="21"/>
  <c r="B285" i="21"/>
  <c r="AD285" i="21" l="1"/>
  <c r="AU285" i="21"/>
  <c r="O284" i="21"/>
  <c r="R284" i="21"/>
  <c r="AV286" i="21"/>
  <c r="AA286" i="21"/>
  <c r="R286" i="21" s="1"/>
  <c r="AT286" i="21"/>
  <c r="AA285" i="21"/>
  <c r="U284" i="21"/>
  <c r="AH285" i="21"/>
  <c r="AG285" i="21"/>
  <c r="AF285" i="21"/>
  <c r="AE285" i="21"/>
  <c r="AC285" i="21"/>
  <c r="Y286" i="21"/>
  <c r="Z286" i="21"/>
  <c r="X286" i="21"/>
  <c r="AB286" i="21"/>
  <c r="M286" i="21"/>
  <c r="N286" i="21"/>
  <c r="L286" i="21"/>
  <c r="I286" i="21"/>
  <c r="K286" i="21"/>
  <c r="G286" i="21"/>
  <c r="F286" i="21"/>
  <c r="E286" i="21"/>
  <c r="D286" i="21"/>
  <c r="C286" i="21"/>
  <c r="A287" i="21"/>
  <c r="B286" i="21"/>
  <c r="O286" i="21" l="1"/>
  <c r="AV287" i="21"/>
  <c r="AT287" i="21"/>
  <c r="AD286" i="21"/>
  <c r="AU286" i="21"/>
  <c r="R285" i="21"/>
  <c r="O285" i="21"/>
  <c r="U285" i="21"/>
  <c r="W285" i="21"/>
  <c r="U286" i="21"/>
  <c r="Y287" i="21"/>
  <c r="Z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C287" i="21"/>
  <c r="AD287" i="21" l="1"/>
  <c r="AU287" i="21"/>
  <c r="AV288" i="21"/>
  <c r="AT288" i="21"/>
  <c r="AA287" i="21"/>
  <c r="W286" i="21"/>
  <c r="AH287" i="21"/>
  <c r="AG287" i="21"/>
  <c r="AF287" i="21"/>
  <c r="AE287" i="21"/>
  <c r="AC287" i="21"/>
  <c r="Y288" i="21"/>
  <c r="Z288" i="21"/>
  <c r="X288" i="21"/>
  <c r="AB288" i="21"/>
  <c r="M288" i="21"/>
  <c r="N288" i="21"/>
  <c r="L288" i="21"/>
  <c r="I288" i="21"/>
  <c r="K288" i="21"/>
  <c r="G288" i="21"/>
  <c r="F288" i="21"/>
  <c r="A289" i="21"/>
  <c r="E288" i="21"/>
  <c r="D288" i="21"/>
  <c r="C288" i="21"/>
  <c r="B288" i="21"/>
  <c r="AD288" i="21" l="1"/>
  <c r="AU288" i="21"/>
  <c r="O287" i="21"/>
  <c r="R287" i="21"/>
  <c r="AA288" i="21"/>
  <c r="AV289" i="21"/>
  <c r="AA289" i="21"/>
  <c r="O289" i="21" s="1"/>
  <c r="AT289" i="21"/>
  <c r="W287" i="21"/>
  <c r="U287" i="21"/>
  <c r="AH288" i="21"/>
  <c r="AG288" i="21"/>
  <c r="AF288" i="21"/>
  <c r="AE288" i="21"/>
  <c r="AC288" i="21"/>
  <c r="X289" i="21"/>
  <c r="AB289" i="21"/>
  <c r="Y289" i="21"/>
  <c r="Z289" i="21"/>
  <c r="N289" i="21"/>
  <c r="K289" i="21"/>
  <c r="M289" i="21"/>
  <c r="L289" i="21"/>
  <c r="I289" i="21"/>
  <c r="G289" i="21"/>
  <c r="F289" i="21"/>
  <c r="E289" i="21"/>
  <c r="D289" i="21"/>
  <c r="C289" i="21"/>
  <c r="A290" i="21"/>
  <c r="B289" i="21"/>
  <c r="AV290" i="21" l="1"/>
  <c r="AT290" i="21"/>
  <c r="R288" i="21"/>
  <c r="O288" i="21"/>
  <c r="AD289" i="21"/>
  <c r="AU289" i="21"/>
  <c r="R289" i="21"/>
  <c r="U288" i="21"/>
  <c r="W288" i="21"/>
  <c r="Y290" i="21"/>
  <c r="Z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C290" i="21"/>
  <c r="B290" i="21"/>
  <c r="A291" i="21"/>
  <c r="AD290" i="21" l="1"/>
  <c r="AU290" i="21"/>
  <c r="AA290" i="21"/>
  <c r="AV291" i="21"/>
  <c r="AA291" i="21"/>
  <c r="O291" i="21" s="1"/>
  <c r="AT291" i="21"/>
  <c r="U289" i="21"/>
  <c r="W289" i="21"/>
  <c r="Y291" i="21"/>
  <c r="Z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B291" i="21"/>
  <c r="D291" i="21"/>
  <c r="E291" i="21"/>
  <c r="C291" i="21"/>
  <c r="A292" i="21"/>
  <c r="R291" i="21" l="1"/>
  <c r="AD291" i="21"/>
  <c r="AU291" i="21"/>
  <c r="R290" i="21"/>
  <c r="O290" i="21"/>
  <c r="AV292" i="21"/>
  <c r="AT292" i="21"/>
  <c r="U290" i="21"/>
  <c r="W290" i="21"/>
  <c r="W291" i="21"/>
  <c r="AB292" i="21"/>
  <c r="Y292" i="21"/>
  <c r="Z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B292" i="21"/>
  <c r="A293" i="21"/>
  <c r="AD292" i="21" l="1"/>
  <c r="AU292" i="21"/>
  <c r="AA292" i="21"/>
  <c r="AV293" i="21"/>
  <c r="AT293" i="21"/>
  <c r="U291" i="21"/>
  <c r="X293" i="21"/>
  <c r="AB293" i="21"/>
  <c r="Y293" i="21"/>
  <c r="Z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E293" i="21"/>
  <c r="A294" i="21"/>
  <c r="B293" i="21"/>
  <c r="D293" i="21"/>
  <c r="AA293" i="21" s="1"/>
  <c r="C293" i="21"/>
  <c r="R293" i="21" l="1"/>
  <c r="O293" i="21"/>
  <c r="AD293" i="21"/>
  <c r="AU293" i="21"/>
  <c r="AV294" i="21"/>
  <c r="AT294" i="21"/>
  <c r="R292" i="21"/>
  <c r="O292" i="21"/>
  <c r="W292" i="21"/>
  <c r="U292" i="21"/>
  <c r="U293" i="21"/>
  <c r="AH293" i="21"/>
  <c r="AG293" i="21"/>
  <c r="AF293" i="21"/>
  <c r="AE293" i="21"/>
  <c r="AC293" i="21"/>
  <c r="Y294" i="21"/>
  <c r="Z294" i="21"/>
  <c r="X294" i="21"/>
  <c r="AB294" i="21"/>
  <c r="L294" i="21"/>
  <c r="M294" i="21"/>
  <c r="N294" i="21"/>
  <c r="I294" i="21"/>
  <c r="K294" i="21"/>
  <c r="G294" i="21"/>
  <c r="F294" i="21"/>
  <c r="E294" i="21"/>
  <c r="D294" i="21"/>
  <c r="C294" i="21"/>
  <c r="B294" i="21"/>
  <c r="A295" i="21"/>
  <c r="AV295" i="21" l="1"/>
  <c r="AT295" i="21"/>
  <c r="AD294" i="21"/>
  <c r="AU294" i="21"/>
  <c r="AA294" i="21"/>
  <c r="W293" i="21"/>
  <c r="X295" i="21"/>
  <c r="AB295" i="21"/>
  <c r="Y295" i="21"/>
  <c r="Z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B295" i="21"/>
  <c r="E295" i="21"/>
  <c r="D295" i="21"/>
  <c r="C295" i="21"/>
  <c r="A296" i="21"/>
  <c r="O294" i="21" l="1"/>
  <c r="R294" i="21"/>
  <c r="AD295" i="21"/>
  <c r="AU295" i="21"/>
  <c r="AA295" i="21"/>
  <c r="AV296" i="21"/>
  <c r="AT296" i="21"/>
  <c r="AA296" i="21"/>
  <c r="O296" i="21" s="1"/>
  <c r="W294" i="21"/>
  <c r="U294" i="21"/>
  <c r="X296" i="21"/>
  <c r="AB296" i="21"/>
  <c r="Y296" i="21"/>
  <c r="Z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D296" i="21"/>
  <c r="C296" i="21"/>
  <c r="A297" i="21"/>
  <c r="E296" i="21"/>
  <c r="B296" i="21"/>
  <c r="AV297" i="21" l="1"/>
  <c r="AT297" i="21"/>
  <c r="AD296" i="21"/>
  <c r="AU296" i="21"/>
  <c r="R295" i="21"/>
  <c r="O295" i="21"/>
  <c r="R296" i="21"/>
  <c r="U295" i="21"/>
  <c r="W295" i="21"/>
  <c r="X297" i="21"/>
  <c r="AB297" i="21"/>
  <c r="Y297" i="21"/>
  <c r="Z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E297" i="21"/>
  <c r="AD297" i="21" l="1"/>
  <c r="AU297" i="21"/>
  <c r="AV298" i="21"/>
  <c r="AT298" i="21"/>
  <c r="AA297" i="21"/>
  <c r="U296" i="21"/>
  <c r="W296" i="21"/>
  <c r="AH297" i="21"/>
  <c r="AG297" i="21"/>
  <c r="AF297" i="21"/>
  <c r="AE297" i="21"/>
  <c r="AC297" i="21"/>
  <c r="Y298" i="21"/>
  <c r="Z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R297" i="21" l="1"/>
  <c r="O297" i="21"/>
  <c r="AD298" i="21"/>
  <c r="AU298" i="21"/>
  <c r="AV299" i="21"/>
  <c r="AT299" i="21"/>
  <c r="AA298" i="21"/>
  <c r="W298" i="21" s="1"/>
  <c r="W297" i="21"/>
  <c r="U297" i="21"/>
  <c r="AH298" i="21"/>
  <c r="AG298" i="21"/>
  <c r="AF298" i="21"/>
  <c r="AE298" i="21"/>
  <c r="AC298" i="21"/>
  <c r="Y299" i="21"/>
  <c r="Z299" i="21"/>
  <c r="X299" i="21"/>
  <c r="AB299" i="21"/>
  <c r="M299" i="21"/>
  <c r="N299" i="21"/>
  <c r="L299" i="21"/>
  <c r="I299" i="21"/>
  <c r="K299" i="21"/>
  <c r="F299" i="21"/>
  <c r="G299" i="21"/>
  <c r="B299" i="21"/>
  <c r="D299" i="21"/>
  <c r="C299" i="21"/>
  <c r="A300" i="21"/>
  <c r="E299" i="21"/>
  <c r="AD299" i="21" l="1"/>
  <c r="AU299" i="21"/>
  <c r="AA299" i="21"/>
  <c r="W299" i="21" s="1"/>
  <c r="O298" i="21"/>
  <c r="R298" i="21"/>
  <c r="AV300" i="21"/>
  <c r="AA300" i="21"/>
  <c r="R300" i="21" s="1"/>
  <c r="AT300" i="21"/>
  <c r="U298" i="21"/>
  <c r="Y300" i="21"/>
  <c r="Z300" i="21"/>
  <c r="X300" i="21"/>
  <c r="AB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E300" i="21"/>
  <c r="D300" i="21"/>
  <c r="C300" i="21"/>
  <c r="B300" i="21"/>
  <c r="A301" i="21"/>
  <c r="AD300" i="21" l="1"/>
  <c r="AU300" i="21"/>
  <c r="R299" i="21"/>
  <c r="O299" i="21"/>
  <c r="O300" i="21"/>
  <c r="AV301" i="21"/>
  <c r="AT301" i="21"/>
  <c r="U299" i="21"/>
  <c r="U300" i="21"/>
  <c r="X301" i="21"/>
  <c r="AB301" i="21"/>
  <c r="Y301" i="21"/>
  <c r="Z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B301" i="21"/>
  <c r="AD301" i="21" l="1"/>
  <c r="AU301" i="21"/>
  <c r="AA301" i="21"/>
  <c r="U301" i="21" s="1"/>
  <c r="AV302" i="21"/>
  <c r="AT302" i="21"/>
  <c r="AA302" i="21"/>
  <c r="O302" i="21" s="1"/>
  <c r="W300" i="21"/>
  <c r="AH301" i="21"/>
  <c r="AG301" i="21"/>
  <c r="AF301" i="21"/>
  <c r="AE301" i="21"/>
  <c r="AC301" i="21"/>
  <c r="Y302" i="21"/>
  <c r="Z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C302" i="21"/>
  <c r="B302" i="21"/>
  <c r="R302" i="21" l="1"/>
  <c r="AD302" i="21"/>
  <c r="AU302" i="21"/>
  <c r="AV303" i="21"/>
  <c r="AT303" i="21"/>
  <c r="O301" i="21"/>
  <c r="R301" i="21"/>
  <c r="W301" i="21"/>
  <c r="W302" i="21"/>
  <c r="AH302" i="21"/>
  <c r="AG302" i="21"/>
  <c r="AF302" i="21"/>
  <c r="AE302" i="21"/>
  <c r="AC302" i="21"/>
  <c r="Y303" i="21"/>
  <c r="Z303" i="21"/>
  <c r="X303" i="21"/>
  <c r="AB303" i="21"/>
  <c r="L303" i="21"/>
  <c r="M303" i="21"/>
  <c r="N303" i="21"/>
  <c r="K303" i="21"/>
  <c r="I303" i="21"/>
  <c r="G303" i="21"/>
  <c r="F303" i="21"/>
  <c r="B303" i="21"/>
  <c r="D303" i="21"/>
  <c r="C303" i="21"/>
  <c r="A304" i="21"/>
  <c r="E303" i="21"/>
  <c r="AD303" i="21" l="1"/>
  <c r="AU303" i="21"/>
  <c r="AA303" i="21"/>
  <c r="AV304" i="21"/>
  <c r="AT304" i="21"/>
  <c r="U302" i="21"/>
  <c r="AB304" i="21"/>
  <c r="Y304" i="21"/>
  <c r="Z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C304" i="21"/>
  <c r="B304" i="21"/>
  <c r="E304" i="21"/>
  <c r="D304" i="21"/>
  <c r="AA304" i="21" s="1"/>
  <c r="A305" i="21"/>
  <c r="R304" i="21" l="1"/>
  <c r="O304" i="21"/>
  <c r="AV305" i="21"/>
  <c r="AT305" i="21"/>
  <c r="AD304" i="21"/>
  <c r="AU304" i="21"/>
  <c r="O303" i="21"/>
  <c r="R303" i="21"/>
  <c r="W303" i="21"/>
  <c r="U303" i="21"/>
  <c r="X305" i="21"/>
  <c r="AB305" i="21"/>
  <c r="Y305" i="21"/>
  <c r="Z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A306" i="21"/>
  <c r="E305" i="21"/>
  <c r="D305" i="21"/>
  <c r="AA305" i="21" s="1"/>
  <c r="B305" i="21"/>
  <c r="C305" i="21"/>
  <c r="R305" i="21" l="1"/>
  <c r="O305" i="21"/>
  <c r="AV306" i="21"/>
  <c r="AT306" i="21"/>
  <c r="AD305" i="21"/>
  <c r="AU305" i="21"/>
  <c r="W304" i="21"/>
  <c r="U304" i="21"/>
  <c r="AH305" i="21"/>
  <c r="AG305" i="21"/>
  <c r="AF305" i="21"/>
  <c r="AE305" i="21"/>
  <c r="AC305" i="21"/>
  <c r="Y306" i="21"/>
  <c r="Z306" i="21"/>
  <c r="X306" i="21"/>
  <c r="AB306" i="21"/>
  <c r="L306" i="21"/>
  <c r="M306" i="21"/>
  <c r="N306" i="21"/>
  <c r="I306" i="21"/>
  <c r="K306" i="21"/>
  <c r="G306" i="21"/>
  <c r="F306" i="21"/>
  <c r="E306" i="21"/>
  <c r="A307" i="21"/>
  <c r="D306" i="21"/>
  <c r="AA306" i="21" s="1"/>
  <c r="C306" i="21"/>
  <c r="B306" i="21"/>
  <c r="R306" i="21" l="1"/>
  <c r="O306" i="21"/>
  <c r="AV307" i="21"/>
  <c r="AT307" i="21"/>
  <c r="AD306" i="21"/>
  <c r="AU306" i="21"/>
  <c r="U305" i="21"/>
  <c r="W305" i="21"/>
  <c r="AH306" i="21"/>
  <c r="AG306" i="21"/>
  <c r="AF306" i="21"/>
  <c r="AE306" i="21"/>
  <c r="AC306" i="21"/>
  <c r="X307" i="21"/>
  <c r="AB307" i="21"/>
  <c r="Y307" i="21"/>
  <c r="Z307" i="21"/>
  <c r="N307" i="21"/>
  <c r="L307" i="21"/>
  <c r="M307" i="21"/>
  <c r="I307" i="21"/>
  <c r="K307" i="21"/>
  <c r="F307" i="21"/>
  <c r="G307" i="21"/>
  <c r="B307" i="21"/>
  <c r="C307" i="21"/>
  <c r="A308" i="21"/>
  <c r="E307" i="21"/>
  <c r="D307" i="21"/>
  <c r="AD307" i="21" l="1"/>
  <c r="AU307" i="21"/>
  <c r="AV308" i="21"/>
  <c r="AT308" i="21"/>
  <c r="AA307" i="21"/>
  <c r="U306" i="21"/>
  <c r="W306" i="21"/>
  <c r="AH307" i="21"/>
  <c r="AG307" i="21"/>
  <c r="AF307" i="21"/>
  <c r="AE307" i="21"/>
  <c r="AC307" i="21"/>
  <c r="X308" i="21"/>
  <c r="AB308" i="21"/>
  <c r="Y308" i="21"/>
  <c r="Z308" i="21"/>
  <c r="M308" i="21"/>
  <c r="N308" i="21"/>
  <c r="L308" i="21"/>
  <c r="I308" i="21"/>
  <c r="K308" i="21"/>
  <c r="F308" i="21"/>
  <c r="G308" i="21"/>
  <c r="A309" i="21"/>
  <c r="B308" i="21"/>
  <c r="E308" i="21"/>
  <c r="D308" i="21"/>
  <c r="AA308" i="21" s="1"/>
  <c r="C308" i="21"/>
  <c r="R308" i="21" l="1"/>
  <c r="O308" i="21"/>
  <c r="O307" i="21"/>
  <c r="R307" i="21"/>
  <c r="AD308" i="21"/>
  <c r="AU308" i="21"/>
  <c r="AV309" i="21"/>
  <c r="AT309" i="21"/>
  <c r="U307" i="21"/>
  <c r="W307" i="21"/>
  <c r="AH308" i="21"/>
  <c r="AG308" i="21"/>
  <c r="AF308" i="21"/>
  <c r="AC308" i="21"/>
  <c r="AE308" i="21"/>
  <c r="X309" i="21"/>
  <c r="AB309" i="21"/>
  <c r="Y309" i="21"/>
  <c r="Z309" i="21"/>
  <c r="M309" i="21"/>
  <c r="N309" i="21"/>
  <c r="L309" i="21"/>
  <c r="I309" i="21"/>
  <c r="K309" i="21"/>
  <c r="F309" i="21"/>
  <c r="G309" i="21"/>
  <c r="A310" i="21"/>
  <c r="D309" i="21"/>
  <c r="E309" i="21"/>
  <c r="C309" i="21"/>
  <c r="B309" i="21"/>
  <c r="AD309" i="21" l="1"/>
  <c r="AU309" i="21"/>
  <c r="AV310" i="21"/>
  <c r="AT310" i="21"/>
  <c r="AA309" i="21"/>
  <c r="U308" i="21"/>
  <c r="W308" i="21"/>
  <c r="AH309" i="21"/>
  <c r="AG309" i="21"/>
  <c r="AF309" i="21"/>
  <c r="AE309" i="21"/>
  <c r="AC309" i="21"/>
  <c r="Y310" i="21"/>
  <c r="Z310" i="21"/>
  <c r="X310" i="21"/>
  <c r="AB310" i="21"/>
  <c r="M310" i="21"/>
  <c r="N310" i="21"/>
  <c r="L310" i="21"/>
  <c r="I310" i="21"/>
  <c r="K310" i="21"/>
  <c r="F310" i="21"/>
  <c r="G310" i="21"/>
  <c r="E310" i="21"/>
  <c r="A311" i="21"/>
  <c r="D310" i="21"/>
  <c r="AA310" i="21" s="1"/>
  <c r="C310" i="21"/>
  <c r="B310" i="21"/>
  <c r="R310" i="21" l="1"/>
  <c r="O310" i="21"/>
  <c r="O309" i="21"/>
  <c r="R309" i="21"/>
  <c r="AV311" i="21"/>
  <c r="AT311" i="21"/>
  <c r="AD310" i="21"/>
  <c r="AU310" i="21"/>
  <c r="U309" i="21"/>
  <c r="W309" i="21"/>
  <c r="U310" i="21"/>
  <c r="AH310" i="21"/>
  <c r="AG310" i="21"/>
  <c r="AF310" i="21"/>
  <c r="AE310" i="21"/>
  <c r="AC310" i="21"/>
  <c r="Y311" i="21"/>
  <c r="Z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A311" i="21" s="1"/>
  <c r="A312" i="21"/>
  <c r="E311" i="21"/>
  <c r="O311" i="21" l="1"/>
  <c r="R311" i="21"/>
  <c r="AV312" i="21"/>
  <c r="AT312" i="21"/>
  <c r="AD311" i="21"/>
  <c r="AU311" i="21"/>
  <c r="W310" i="21"/>
  <c r="U311" i="21"/>
  <c r="Y312" i="21"/>
  <c r="Z312" i="21"/>
  <c r="X312" i="21"/>
  <c r="AB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C312" i="21"/>
  <c r="AD312" i="21" l="1"/>
  <c r="AU312" i="21"/>
  <c r="AV313" i="21"/>
  <c r="AT313" i="21"/>
  <c r="AA312" i="21"/>
  <c r="W311" i="21"/>
  <c r="AH312" i="21"/>
  <c r="AG312" i="21"/>
  <c r="AF312" i="21"/>
  <c r="AE312" i="21"/>
  <c r="AC312" i="21"/>
  <c r="X313" i="21"/>
  <c r="AB313" i="21"/>
  <c r="Y313" i="21"/>
  <c r="Z313" i="21"/>
  <c r="N313" i="21"/>
  <c r="K313" i="21"/>
  <c r="M313" i="21"/>
  <c r="L313" i="21"/>
  <c r="I313" i="21"/>
  <c r="G313" i="21"/>
  <c r="F313" i="21"/>
  <c r="E313" i="21"/>
  <c r="A314" i="21"/>
  <c r="D313" i="21"/>
  <c r="AA313" i="21" s="1"/>
  <c r="C313" i="21"/>
  <c r="B313" i="21"/>
  <c r="O313" i="21" l="1"/>
  <c r="R313" i="21"/>
  <c r="R312" i="21"/>
  <c r="O312" i="21"/>
  <c r="AD313" i="21"/>
  <c r="AU313" i="21"/>
  <c r="AV314" i="21"/>
  <c r="AT314" i="21"/>
  <c r="AA314" i="21"/>
  <c r="O314" i="21" s="1"/>
  <c r="W312" i="21"/>
  <c r="U312" i="21"/>
  <c r="AH313" i="21"/>
  <c r="AG313" i="21"/>
  <c r="AF313" i="21"/>
  <c r="AE313" i="21"/>
  <c r="AC313" i="21"/>
  <c r="Y314" i="21"/>
  <c r="Z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C314" i="21"/>
  <c r="B314" i="21"/>
  <c r="R314" i="21" l="1"/>
  <c r="AD314" i="21"/>
  <c r="AU314" i="21"/>
  <c r="AV315" i="21"/>
  <c r="AT315" i="21"/>
  <c r="AA315" i="21"/>
  <c r="R315" i="21" s="1"/>
  <c r="W313" i="21"/>
  <c r="U313" i="21"/>
  <c r="W314" i="21"/>
  <c r="AH314" i="21"/>
  <c r="AG314" i="21"/>
  <c r="AF314" i="21"/>
  <c r="AE314" i="21"/>
  <c r="AC314" i="21"/>
  <c r="Y315" i="21"/>
  <c r="Z315" i="21"/>
  <c r="X315" i="21"/>
  <c r="AB315" i="21"/>
  <c r="L315" i="21"/>
  <c r="M315" i="21"/>
  <c r="N315" i="21"/>
  <c r="I315" i="21"/>
  <c r="K315" i="21"/>
  <c r="G315" i="21"/>
  <c r="F315" i="21"/>
  <c r="B315" i="21"/>
  <c r="D315" i="21"/>
  <c r="A316" i="21"/>
  <c r="C315" i="21"/>
  <c r="E315" i="21"/>
  <c r="O315" i="21" l="1"/>
  <c r="AV316" i="21"/>
  <c r="AT316" i="21"/>
  <c r="AD315" i="21"/>
  <c r="AU315" i="21"/>
  <c r="U314" i="21"/>
  <c r="W315" i="21"/>
  <c r="AB316" i="21"/>
  <c r="Y316" i="21"/>
  <c r="Z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l="1"/>
  <c r="AU316" i="21"/>
  <c r="AA316" i="21"/>
  <c r="AV317" i="21"/>
  <c r="AA317" i="21"/>
  <c r="R317" i="21" s="1"/>
  <c r="AT317" i="21"/>
  <c r="O317" i="21"/>
  <c r="U315" i="21"/>
  <c r="AH316" i="21"/>
  <c r="AG316" i="21"/>
  <c r="AE316" i="21"/>
  <c r="AF316" i="21"/>
  <c r="AC316" i="21"/>
  <c r="X317" i="21"/>
  <c r="AB317" i="21"/>
  <c r="Y317" i="21"/>
  <c r="Z317" i="21"/>
  <c r="L317" i="21"/>
  <c r="M317" i="21"/>
  <c r="N317" i="21"/>
  <c r="I317" i="21"/>
  <c r="K317" i="21"/>
  <c r="G317" i="21"/>
  <c r="F317" i="21"/>
  <c r="E317" i="21"/>
  <c r="D317" i="21"/>
  <c r="B317" i="21"/>
  <c r="C317" i="21"/>
  <c r="A318" i="21"/>
  <c r="AV318" i="21" l="1"/>
  <c r="AT318" i="21"/>
  <c r="AD317" i="21"/>
  <c r="AU317" i="21"/>
  <c r="R316" i="21"/>
  <c r="O316" i="21"/>
  <c r="W316" i="21"/>
  <c r="U316" i="21"/>
  <c r="W317" i="21"/>
  <c r="Y318" i="21"/>
  <c r="Z318" i="21"/>
  <c r="X318" i="21"/>
  <c r="AB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E318" i="21"/>
  <c r="D318" i="21"/>
  <c r="C318" i="21"/>
  <c r="B318" i="21"/>
  <c r="A319" i="21"/>
  <c r="AD318" i="21" l="1"/>
  <c r="AU318" i="21"/>
  <c r="AA318" i="21"/>
  <c r="W318" i="21" s="1"/>
  <c r="AV319" i="21"/>
  <c r="AA319" i="21"/>
  <c r="O319" i="21" s="1"/>
  <c r="AT319" i="21"/>
  <c r="U317" i="21"/>
  <c r="X319" i="21"/>
  <c r="AB319" i="21"/>
  <c r="Y319" i="21"/>
  <c r="Z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A320" i="21"/>
  <c r="D319" i="21"/>
  <c r="C319" i="21"/>
  <c r="E319" i="21"/>
  <c r="B319" i="21"/>
  <c r="R319" i="21" l="1"/>
  <c r="AD319" i="21"/>
  <c r="AU319" i="21"/>
  <c r="AV320" i="21"/>
  <c r="AT320" i="21"/>
  <c r="O318" i="21"/>
  <c r="R318" i="21"/>
  <c r="U318" i="21"/>
  <c r="U319" i="21"/>
  <c r="AH319" i="21"/>
  <c r="AG319" i="21"/>
  <c r="AF319" i="21"/>
  <c r="AE319" i="21"/>
  <c r="AC319" i="21"/>
  <c r="X320" i="21"/>
  <c r="AB320" i="21"/>
  <c r="Y320" i="21"/>
  <c r="Z320" i="21"/>
  <c r="M320" i="21"/>
  <c r="N320" i="21"/>
  <c r="L320" i="21"/>
  <c r="I320" i="21"/>
  <c r="K320" i="21"/>
  <c r="F320" i="21"/>
  <c r="G320" i="21"/>
  <c r="C320" i="21"/>
  <c r="B320" i="21"/>
  <c r="E320" i="21"/>
  <c r="D320" i="21"/>
  <c r="AA320" i="21" s="1"/>
  <c r="A321" i="21"/>
  <c r="O320" i="21" l="1"/>
  <c r="R320" i="21"/>
  <c r="AD320" i="21"/>
  <c r="AU320" i="21"/>
  <c r="AV321" i="21"/>
  <c r="AT321" i="21"/>
  <c r="AA321" i="21"/>
  <c r="R321" i="21" s="1"/>
  <c r="W319" i="21"/>
  <c r="U320" i="21"/>
  <c r="X321" i="21"/>
  <c r="AB321" i="21"/>
  <c r="Y321" i="21"/>
  <c r="Z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A322" i="21"/>
  <c r="D321" i="21"/>
  <c r="C321" i="21"/>
  <c r="E321" i="21"/>
  <c r="B321" i="21"/>
  <c r="O321" i="21" l="1"/>
  <c r="AD321" i="21"/>
  <c r="AU321" i="21"/>
  <c r="AV322" i="21"/>
  <c r="AT322" i="21"/>
  <c r="W320" i="21"/>
  <c r="W321" i="21"/>
  <c r="AH321" i="21"/>
  <c r="AG321" i="21"/>
  <c r="AF321" i="21"/>
  <c r="AE321" i="21"/>
  <c r="AC321" i="21"/>
  <c r="Y322" i="21"/>
  <c r="Z322" i="21"/>
  <c r="X322" i="21"/>
  <c r="AB322" i="21"/>
  <c r="M322" i="21"/>
  <c r="N322" i="21"/>
  <c r="L322" i="21"/>
  <c r="I322" i="21"/>
  <c r="K322" i="21"/>
  <c r="G322" i="21"/>
  <c r="F322" i="21"/>
  <c r="A323" i="21"/>
  <c r="E322" i="21"/>
  <c r="D322" i="21"/>
  <c r="AA322" i="21" s="1"/>
  <c r="C322" i="21"/>
  <c r="B322" i="21"/>
  <c r="R322" i="21" l="1"/>
  <c r="O322" i="21"/>
  <c r="AV323" i="21"/>
  <c r="AT323" i="21"/>
  <c r="AD322" i="21"/>
  <c r="AU322" i="21"/>
  <c r="U321" i="21"/>
  <c r="AH322" i="21"/>
  <c r="AG322" i="21"/>
  <c r="AF322" i="21"/>
  <c r="AE322" i="21"/>
  <c r="AC322" i="21"/>
  <c r="Y323" i="21"/>
  <c r="Z323" i="21"/>
  <c r="X323" i="21"/>
  <c r="AB323" i="21"/>
  <c r="M323" i="21"/>
  <c r="N323" i="21"/>
  <c r="L323" i="21"/>
  <c r="I323" i="21"/>
  <c r="K323" i="21"/>
  <c r="G323" i="21"/>
  <c r="F323" i="21"/>
  <c r="A324" i="21"/>
  <c r="D323" i="21"/>
  <c r="C323" i="21"/>
  <c r="B323" i="21"/>
  <c r="E323" i="21"/>
  <c r="AD323" i="21" l="1"/>
  <c r="AU323" i="21"/>
  <c r="AA323" i="21"/>
  <c r="AV324" i="21"/>
  <c r="AT324" i="21"/>
  <c r="AA324" i="21"/>
  <c r="R324" i="21" s="1"/>
  <c r="W322" i="21"/>
  <c r="U322" i="21"/>
  <c r="AH323" i="21"/>
  <c r="AG323" i="21"/>
  <c r="AF323" i="21"/>
  <c r="AE323" i="21"/>
  <c r="AC323" i="21"/>
  <c r="Y324" i="21"/>
  <c r="Z324" i="21"/>
  <c r="X324" i="21"/>
  <c r="AB324" i="21"/>
  <c r="M324" i="21"/>
  <c r="N324" i="21"/>
  <c r="L324" i="21"/>
  <c r="I324" i="21"/>
  <c r="K324" i="21"/>
  <c r="G324" i="21"/>
  <c r="F324" i="21"/>
  <c r="E324" i="21"/>
  <c r="D324" i="21"/>
  <c r="C324" i="21"/>
  <c r="B324" i="21"/>
  <c r="A325" i="21"/>
  <c r="O324" i="21" l="1"/>
  <c r="AV325" i="21"/>
  <c r="AT325" i="21"/>
  <c r="AD324" i="21"/>
  <c r="AU324" i="21"/>
  <c r="R323" i="21"/>
  <c r="O323" i="21"/>
  <c r="W323" i="21"/>
  <c r="U323" i="21"/>
  <c r="W324" i="21"/>
  <c r="X325" i="21"/>
  <c r="AB325" i="21"/>
  <c r="Y325" i="21"/>
  <c r="Z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C325" i="21"/>
  <c r="B325" i="21"/>
  <c r="A326" i="21"/>
  <c r="AD325" i="21" l="1"/>
  <c r="AU325" i="21"/>
  <c r="AA325" i="21"/>
  <c r="AV326" i="21"/>
  <c r="AA326" i="21"/>
  <c r="R326" i="21" s="1"/>
  <c r="AT326" i="21"/>
  <c r="U324" i="21"/>
  <c r="Y326" i="21"/>
  <c r="Z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E326" i="21"/>
  <c r="D326" i="21"/>
  <c r="C326" i="21"/>
  <c r="B326" i="21"/>
  <c r="A327" i="21"/>
  <c r="O326" i="21" l="1"/>
  <c r="AD326" i="21"/>
  <c r="AU326" i="21"/>
  <c r="AV327" i="21"/>
  <c r="AT327" i="21"/>
  <c r="R325" i="21"/>
  <c r="O325" i="21"/>
  <c r="W325" i="21"/>
  <c r="U325" i="21"/>
  <c r="Y327" i="21"/>
  <c r="Z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A328" i="21"/>
  <c r="D327" i="21"/>
  <c r="C327" i="21"/>
  <c r="E327" i="21"/>
  <c r="B327" i="21"/>
  <c r="AD327" i="21" l="1"/>
  <c r="AU327" i="21"/>
  <c r="AV328" i="21"/>
  <c r="AT328" i="21"/>
  <c r="AA327" i="21"/>
  <c r="U326" i="21"/>
  <c r="W326" i="21"/>
  <c r="AH327" i="21"/>
  <c r="AG327" i="21"/>
  <c r="AF327" i="21"/>
  <c r="AE327" i="21"/>
  <c r="AC327" i="21"/>
  <c r="AB328" i="21"/>
  <c r="Y328" i="21"/>
  <c r="Z328" i="21"/>
  <c r="X328" i="21"/>
  <c r="L328" i="21"/>
  <c r="M328" i="21"/>
  <c r="N328" i="21"/>
  <c r="G328" i="21"/>
  <c r="K328" i="21"/>
  <c r="I328" i="21"/>
  <c r="F328" i="21"/>
  <c r="E328" i="21"/>
  <c r="D328" i="21"/>
  <c r="C328" i="21"/>
  <c r="A329" i="21"/>
  <c r="B328" i="21"/>
  <c r="O327" i="21" l="1"/>
  <c r="R327" i="21"/>
  <c r="AD328" i="21"/>
  <c r="AU328" i="21"/>
  <c r="AV329" i="21"/>
  <c r="AT329" i="21"/>
  <c r="AA328" i="21"/>
  <c r="W328" i="21" s="1"/>
  <c r="W327" i="21"/>
  <c r="U327" i="21"/>
  <c r="X329" i="21"/>
  <c r="AB329" i="21"/>
  <c r="Y329" i="21"/>
  <c r="Z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A330" i="21"/>
  <c r="B329" i="21"/>
  <c r="E329" i="21"/>
  <c r="D329" i="21"/>
  <c r="AA329" i="21" s="1"/>
  <c r="C329" i="21"/>
  <c r="O329" i="21" l="1"/>
  <c r="R329" i="21"/>
  <c r="AV330" i="21"/>
  <c r="AT330" i="21"/>
  <c r="AD329" i="21"/>
  <c r="AU329" i="21"/>
  <c r="O328" i="21"/>
  <c r="R328" i="21"/>
  <c r="U328" i="21"/>
  <c r="W329" i="21"/>
  <c r="AH329" i="21"/>
  <c r="AG329" i="21"/>
  <c r="AF329" i="21"/>
  <c r="AE329" i="21"/>
  <c r="AC329" i="21"/>
  <c r="Y330" i="21"/>
  <c r="Z330" i="21"/>
  <c r="X330" i="21"/>
  <c r="AB330" i="21"/>
  <c r="L330" i="21"/>
  <c r="M330" i="21"/>
  <c r="N330" i="21"/>
  <c r="K330" i="21"/>
  <c r="I330" i="21"/>
  <c r="G330" i="21"/>
  <c r="F330" i="21"/>
  <c r="A331" i="21"/>
  <c r="E330" i="21"/>
  <c r="D330" i="21"/>
  <c r="C330" i="21"/>
  <c r="B330" i="21"/>
  <c r="AD330" i="21" l="1"/>
  <c r="AU330" i="21"/>
  <c r="AV331" i="21"/>
  <c r="AT331" i="21"/>
  <c r="AA330" i="21"/>
  <c r="U329" i="21"/>
  <c r="AH330" i="21"/>
  <c r="AG330" i="21"/>
  <c r="AF330" i="21"/>
  <c r="AE330" i="21"/>
  <c r="AC330" i="21"/>
  <c r="X331" i="21"/>
  <c r="AB331" i="21"/>
  <c r="Y331" i="21"/>
  <c r="Z331" i="21"/>
  <c r="N331" i="21"/>
  <c r="L331" i="21"/>
  <c r="M331" i="21"/>
  <c r="K331" i="21"/>
  <c r="I331" i="21"/>
  <c r="F331" i="21"/>
  <c r="G331" i="21"/>
  <c r="A332" i="21"/>
  <c r="D331" i="21"/>
  <c r="C331" i="21"/>
  <c r="B331" i="21"/>
  <c r="E331" i="21"/>
  <c r="AD331" i="21" l="1"/>
  <c r="AU331" i="21"/>
  <c r="AA331" i="21"/>
  <c r="W331" i="21" s="1"/>
  <c r="O330" i="21"/>
  <c r="R330" i="21"/>
  <c r="AV332" i="21"/>
  <c r="AT332" i="21"/>
  <c r="AA332" i="21"/>
  <c r="R332" i="21" s="1"/>
  <c r="U330" i="21"/>
  <c r="W330" i="21"/>
  <c r="AH331" i="21"/>
  <c r="AG331" i="21"/>
  <c r="AF331" i="21"/>
  <c r="AE331" i="21"/>
  <c r="AC331" i="21"/>
  <c r="X332" i="21"/>
  <c r="AB332" i="21"/>
  <c r="Y332" i="21"/>
  <c r="Z332" i="21"/>
  <c r="M332" i="21"/>
  <c r="N332" i="21"/>
  <c r="L332" i="21"/>
  <c r="K332" i="21"/>
  <c r="I332" i="21"/>
  <c r="F332" i="21"/>
  <c r="G332" i="21"/>
  <c r="E332" i="21"/>
  <c r="D332" i="21"/>
  <c r="C332" i="21"/>
  <c r="B332" i="21"/>
  <c r="A333" i="21"/>
  <c r="R331" i="21" l="1"/>
  <c r="O331" i="21"/>
  <c r="O332" i="21"/>
  <c r="AD332" i="21"/>
  <c r="AU332" i="21"/>
  <c r="AV333" i="21"/>
  <c r="AT333" i="21"/>
  <c r="AA333" i="21"/>
  <c r="R333" i="21" s="1"/>
  <c r="U331" i="21"/>
  <c r="W332" i="21"/>
  <c r="X333" i="21"/>
  <c r="AB333" i="21"/>
  <c r="Y333" i="21"/>
  <c r="Z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E333" i="21"/>
  <c r="D333" i="21"/>
  <c r="C333" i="21"/>
  <c r="B333" i="21"/>
  <c r="A334" i="21"/>
  <c r="O333" i="21" l="1"/>
  <c r="AD333" i="21"/>
  <c r="AU333" i="21"/>
  <c r="AV334" i="21"/>
  <c r="AA334" i="21"/>
  <c r="R334" i="21" s="1"/>
  <c r="AT334" i="21"/>
  <c r="U332" i="21"/>
  <c r="W333" i="21"/>
  <c r="Y334" i="21"/>
  <c r="Z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A335" i="21"/>
  <c r="D334" i="21"/>
  <c r="C334" i="21"/>
  <c r="E334" i="21"/>
  <c r="B334" i="21"/>
  <c r="O334" i="21" l="1"/>
  <c r="AD334" i="21"/>
  <c r="AU334" i="21"/>
  <c r="AV335" i="21"/>
  <c r="AT335" i="21"/>
  <c r="U333" i="21"/>
  <c r="AH334" i="21"/>
  <c r="AG334" i="21"/>
  <c r="AF334" i="21"/>
  <c r="AE334" i="21"/>
  <c r="AC334" i="21"/>
  <c r="Y335" i="21"/>
  <c r="Z335" i="21"/>
  <c r="X335" i="21"/>
  <c r="AB335" i="21"/>
  <c r="M335" i="21"/>
  <c r="N335" i="21"/>
  <c r="L335" i="21"/>
  <c r="K335" i="21"/>
  <c r="I335" i="21"/>
  <c r="F335" i="21"/>
  <c r="G335" i="21"/>
  <c r="E335" i="21"/>
  <c r="C335" i="21"/>
  <c r="A336" i="21"/>
  <c r="D335" i="21"/>
  <c r="B335" i="21"/>
  <c r="AD335" i="21" l="1"/>
  <c r="AU335" i="21"/>
  <c r="AA335" i="21"/>
  <c r="AV336" i="21"/>
  <c r="AT336" i="21"/>
  <c r="U334" i="21"/>
  <c r="W334" i="21"/>
  <c r="AH335" i="21"/>
  <c r="AG335" i="21"/>
  <c r="AF335" i="21"/>
  <c r="AE335" i="21"/>
  <c r="AC335" i="21"/>
  <c r="Y336" i="21"/>
  <c r="Z336" i="21"/>
  <c r="X336" i="21"/>
  <c r="AB336" i="21"/>
  <c r="M336" i="21"/>
  <c r="N336" i="21"/>
  <c r="L336" i="21"/>
  <c r="K336" i="21"/>
  <c r="I336" i="21"/>
  <c r="F336" i="21"/>
  <c r="G336" i="21"/>
  <c r="B336" i="21"/>
  <c r="E336" i="21"/>
  <c r="D336" i="21"/>
  <c r="A337" i="21"/>
  <c r="C336" i="21"/>
  <c r="AD336" i="21" l="1"/>
  <c r="AU336" i="21"/>
  <c r="R335" i="21"/>
  <c r="O335" i="21"/>
  <c r="AV337" i="21"/>
  <c r="AA337" i="21"/>
  <c r="R337" i="21" s="1"/>
  <c r="AT337" i="21"/>
  <c r="U335" i="21"/>
  <c r="AA336" i="21"/>
  <c r="W336" i="21" s="1"/>
  <c r="W335" i="21"/>
  <c r="X337" i="21"/>
  <c r="AB337" i="21"/>
  <c r="Y337" i="21"/>
  <c r="Z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C337" i="21"/>
  <c r="O337" i="21" l="1"/>
  <c r="AV338" i="21"/>
  <c r="AA338" i="21"/>
  <c r="R338" i="21" s="1"/>
  <c r="AT338" i="21"/>
  <c r="R336" i="21"/>
  <c r="O336" i="21"/>
  <c r="AD337" i="21"/>
  <c r="AU337" i="21"/>
  <c r="U336" i="21"/>
  <c r="W337" i="21"/>
  <c r="AH337" i="21"/>
  <c r="AG337" i="21"/>
  <c r="AF337" i="21"/>
  <c r="AE337" i="21"/>
  <c r="AC337" i="21"/>
  <c r="Y338" i="21"/>
  <c r="Z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B338" i="21"/>
  <c r="E338" i="21"/>
  <c r="O338" i="21" l="1"/>
  <c r="AD338" i="21"/>
  <c r="AU338" i="21"/>
  <c r="AV339" i="21"/>
  <c r="AT339" i="21"/>
  <c r="U337" i="21"/>
  <c r="AH338" i="21"/>
  <c r="AG338" i="21"/>
  <c r="AF338" i="21"/>
  <c r="AE338" i="21"/>
  <c r="AC338" i="21"/>
  <c r="Y339" i="21"/>
  <c r="Z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A339" i="21" s="1"/>
  <c r="C339" i="21"/>
  <c r="B339" i="21"/>
  <c r="R339" i="21" l="1"/>
  <c r="O339" i="21"/>
  <c r="AD339" i="21"/>
  <c r="AU339" i="21"/>
  <c r="AV340" i="21"/>
  <c r="AT340" i="21"/>
  <c r="W338" i="21"/>
  <c r="U338" i="21"/>
  <c r="U339" i="21"/>
  <c r="AH339" i="21"/>
  <c r="AG339" i="21"/>
  <c r="AF339" i="21"/>
  <c r="AE339" i="21"/>
  <c r="AC339" i="21"/>
  <c r="AB340" i="21"/>
  <c r="Y340" i="21"/>
  <c r="Z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l="1"/>
  <c r="AU340" i="21"/>
  <c r="AA340" i="21"/>
  <c r="AV341" i="21"/>
  <c r="AT341" i="21"/>
  <c r="AA341" i="21"/>
  <c r="R341" i="21" s="1"/>
  <c r="W339" i="21"/>
  <c r="AH340" i="21"/>
  <c r="AG340" i="21"/>
  <c r="AE340" i="21"/>
  <c r="AF340" i="21"/>
  <c r="AC340" i="21"/>
  <c r="X341" i="21"/>
  <c r="AB341" i="21"/>
  <c r="Y341" i="21"/>
  <c r="Z341" i="21"/>
  <c r="L341" i="21"/>
  <c r="M341" i="21"/>
  <c r="N341" i="21"/>
  <c r="I341" i="21"/>
  <c r="K341" i="21"/>
  <c r="G341" i="21"/>
  <c r="F341" i="21"/>
  <c r="D341" i="21"/>
  <c r="C341" i="21"/>
  <c r="B341" i="21"/>
  <c r="E341" i="21"/>
  <c r="A342" i="21"/>
  <c r="O341" i="21" l="1"/>
  <c r="AV342" i="21"/>
  <c r="AT342" i="21"/>
  <c r="AD341" i="21"/>
  <c r="AU341" i="21"/>
  <c r="R340" i="21"/>
  <c r="O340" i="21"/>
  <c r="U340" i="21"/>
  <c r="W340" i="21"/>
  <c r="Y342" i="21"/>
  <c r="Z342" i="21"/>
  <c r="X342" i="21"/>
  <c r="AB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C342" i="21"/>
  <c r="E342" i="21"/>
  <c r="B342" i="21"/>
  <c r="AV343" i="21" l="1"/>
  <c r="AT343" i="21"/>
  <c r="AD342" i="21"/>
  <c r="AU342" i="21"/>
  <c r="AA342" i="21"/>
  <c r="U341" i="21"/>
  <c r="W341" i="21"/>
  <c r="AH342" i="21"/>
  <c r="AG342" i="21"/>
  <c r="AF342" i="21"/>
  <c r="AE342" i="21"/>
  <c r="AC342" i="21"/>
  <c r="X343" i="21"/>
  <c r="AB343" i="21"/>
  <c r="Y343" i="21"/>
  <c r="Z343" i="21"/>
  <c r="N343" i="21"/>
  <c r="L343" i="21"/>
  <c r="M343" i="21"/>
  <c r="K343" i="21"/>
  <c r="I343" i="21"/>
  <c r="F343" i="21"/>
  <c r="G343" i="21"/>
  <c r="E343" i="21"/>
  <c r="A344" i="21"/>
  <c r="D343" i="21"/>
  <c r="C343" i="21"/>
  <c r="B343" i="21"/>
  <c r="R342" i="21" l="1"/>
  <c r="O342" i="21"/>
  <c r="AD343" i="21"/>
  <c r="AU343" i="21"/>
  <c r="AV344" i="21"/>
  <c r="AT344" i="21"/>
  <c r="W342" i="21"/>
  <c r="AA343" i="21"/>
  <c r="U342" i="21"/>
  <c r="AH343" i="21"/>
  <c r="AG343" i="21"/>
  <c r="AF343" i="21"/>
  <c r="AE343" i="21"/>
  <c r="AC343" i="21"/>
  <c r="X344" i="21"/>
  <c r="AB344" i="21"/>
  <c r="Y344" i="21"/>
  <c r="Z344" i="21"/>
  <c r="M344" i="21"/>
  <c r="N344" i="21"/>
  <c r="L344" i="21"/>
  <c r="K344" i="21"/>
  <c r="I344" i="21"/>
  <c r="F344" i="21"/>
  <c r="G344" i="21"/>
  <c r="B344" i="21"/>
  <c r="A345" i="21"/>
  <c r="E344" i="21"/>
  <c r="D344" i="21"/>
  <c r="AA344" i="21" s="1"/>
  <c r="C344" i="21"/>
  <c r="R344" i="21" l="1"/>
  <c r="O344" i="21"/>
  <c r="AV345" i="21"/>
  <c r="AT345" i="21"/>
  <c r="O343" i="21"/>
  <c r="R343" i="21"/>
  <c r="AD344" i="21"/>
  <c r="AU344" i="21"/>
  <c r="U343" i="21"/>
  <c r="W343" i="21"/>
  <c r="AH344" i="21"/>
  <c r="AG344" i="21"/>
  <c r="AF344" i="21"/>
  <c r="AC344" i="21"/>
  <c r="AE344" i="21"/>
  <c r="X345" i="21"/>
  <c r="AB345" i="21"/>
  <c r="Y345" i="21"/>
  <c r="Z345" i="21"/>
  <c r="M345" i="21"/>
  <c r="N345" i="21"/>
  <c r="L345" i="21"/>
  <c r="K345" i="21"/>
  <c r="I345" i="21"/>
  <c r="F345" i="21"/>
  <c r="G345" i="21"/>
  <c r="B345" i="21"/>
  <c r="E345" i="21"/>
  <c r="D345" i="21"/>
  <c r="C345" i="21"/>
  <c r="A346" i="21"/>
  <c r="AD345" i="21" l="1"/>
  <c r="AU345" i="21"/>
  <c r="AA345" i="21"/>
  <c r="AV346" i="21"/>
  <c r="AA346" i="21"/>
  <c r="R346" i="21" s="1"/>
  <c r="AT346" i="21"/>
  <c r="U344" i="21"/>
  <c r="W344" i="21"/>
  <c r="Y346" i="21"/>
  <c r="Z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C346" i="21"/>
  <c r="E346" i="21"/>
  <c r="B346" i="21"/>
  <c r="O346" i="21" l="1"/>
  <c r="AD346" i="21"/>
  <c r="AU346" i="21"/>
  <c r="AV347" i="21"/>
  <c r="AT347" i="21"/>
  <c r="O345" i="21"/>
  <c r="R345" i="21"/>
  <c r="U345" i="21"/>
  <c r="W345" i="21"/>
  <c r="W346" i="21"/>
  <c r="AH346" i="21"/>
  <c r="AG346" i="21"/>
  <c r="AF346" i="21"/>
  <c r="AE346" i="21"/>
  <c r="AC346" i="21"/>
  <c r="Y347" i="21"/>
  <c r="Z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C347" i="21"/>
  <c r="B347" i="21"/>
  <c r="AV348" i="21" l="1"/>
  <c r="AT348" i="21"/>
  <c r="AD347" i="21"/>
  <c r="AU347" i="21"/>
  <c r="AA347" i="21"/>
  <c r="U346" i="21"/>
  <c r="AH347" i="21"/>
  <c r="AG347" i="21"/>
  <c r="AF347" i="21"/>
  <c r="AE347" i="21"/>
  <c r="AC347" i="21"/>
  <c r="Y348" i="21"/>
  <c r="Z348" i="21"/>
  <c r="X348" i="21"/>
  <c r="AB348" i="21"/>
  <c r="M348" i="21"/>
  <c r="N348" i="21"/>
  <c r="L348" i="21"/>
  <c r="K348" i="21"/>
  <c r="I348" i="21"/>
  <c r="F348" i="21"/>
  <c r="G348" i="21"/>
  <c r="B348" i="21"/>
  <c r="C348" i="21"/>
  <c r="D348" i="21"/>
  <c r="AA348" i="21" s="1"/>
  <c r="A349" i="21"/>
  <c r="E348" i="21"/>
  <c r="R348" i="21" l="1"/>
  <c r="O348" i="21"/>
  <c r="R347" i="21"/>
  <c r="O347" i="21"/>
  <c r="AV349" i="21"/>
  <c r="AT349" i="21"/>
  <c r="AD348" i="21"/>
  <c r="AU348" i="21"/>
  <c r="U347" i="21"/>
  <c r="W347" i="21"/>
  <c r="X349" i="21"/>
  <c r="AB349" i="21"/>
  <c r="Y349" i="21"/>
  <c r="Z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B349" i="21"/>
  <c r="E349" i="21"/>
  <c r="D349" i="21"/>
  <c r="C349" i="21"/>
  <c r="A350" i="21"/>
  <c r="AV350" i="21" l="1"/>
  <c r="AT350" i="21"/>
  <c r="AA350" i="21"/>
  <c r="R350" i="21" s="1"/>
  <c r="AD349" i="21"/>
  <c r="AU349" i="21"/>
  <c r="AA349" i="21"/>
  <c r="U348" i="21"/>
  <c r="W348" i="21"/>
  <c r="Y350" i="21"/>
  <c r="Z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A351" i="21"/>
  <c r="D350" i="21"/>
  <c r="C350" i="21"/>
  <c r="E350" i="21"/>
  <c r="B350" i="21"/>
  <c r="O350" i="21" l="1"/>
  <c r="O349" i="21"/>
  <c r="R349" i="21"/>
  <c r="AD350" i="21"/>
  <c r="AU350" i="21"/>
  <c r="AV351" i="21"/>
  <c r="AT351" i="21"/>
  <c r="W349" i="21"/>
  <c r="U349" i="21"/>
  <c r="AH350" i="21"/>
  <c r="AG350" i="21"/>
  <c r="AF350" i="21"/>
  <c r="AE350" i="21"/>
  <c r="AC350" i="21"/>
  <c r="Y351" i="21"/>
  <c r="Z351" i="21"/>
  <c r="X351" i="21"/>
  <c r="AB351" i="21"/>
  <c r="L351" i="21"/>
  <c r="M351" i="21"/>
  <c r="N351" i="21"/>
  <c r="K351" i="21"/>
  <c r="I351" i="21"/>
  <c r="G351" i="21"/>
  <c r="F351" i="21"/>
  <c r="E351" i="21"/>
  <c r="A352" i="21"/>
  <c r="D351" i="21"/>
  <c r="AA351" i="21" s="1"/>
  <c r="C351" i="21"/>
  <c r="B351" i="21"/>
  <c r="R351" i="21" l="1"/>
  <c r="O351" i="21"/>
  <c r="AD351" i="21"/>
  <c r="AU351" i="21"/>
  <c r="AV352" i="21"/>
  <c r="AT352" i="21"/>
  <c r="U350" i="21"/>
  <c r="W350" i="21"/>
  <c r="AH351" i="21"/>
  <c r="AG351" i="21"/>
  <c r="AF351" i="21"/>
  <c r="AE351" i="21"/>
  <c r="AC351" i="21"/>
  <c r="AB352" i="21"/>
  <c r="Y352" i="21"/>
  <c r="Z352" i="21"/>
  <c r="X352" i="21"/>
  <c r="L352" i="21"/>
  <c r="M352" i="21"/>
  <c r="N352" i="21"/>
  <c r="G352" i="21"/>
  <c r="K352" i="21"/>
  <c r="I352" i="21"/>
  <c r="F352" i="21"/>
  <c r="B352" i="21"/>
  <c r="D352" i="21"/>
  <c r="AA352" i="21" s="1"/>
  <c r="A353" i="21"/>
  <c r="C352" i="21"/>
  <c r="E352" i="21"/>
  <c r="O352" i="21" l="1"/>
  <c r="R352" i="21"/>
  <c r="AV353" i="21"/>
  <c r="AT353" i="21"/>
  <c r="AD352" i="21"/>
  <c r="AU352" i="21"/>
  <c r="U351" i="21"/>
  <c r="W351" i="21"/>
  <c r="W352" i="21"/>
  <c r="X353" i="21"/>
  <c r="AB353" i="21"/>
  <c r="Y353" i="21"/>
  <c r="Z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A353" i="21" s="1"/>
  <c r="C353" i="21"/>
  <c r="R353" i="21" l="1"/>
  <c r="O353" i="21"/>
  <c r="AD353" i="21"/>
  <c r="AU353" i="21"/>
  <c r="AV354" i="21"/>
  <c r="AT354" i="21"/>
  <c r="AA354" i="21"/>
  <c r="R354" i="21" s="1"/>
  <c r="U352" i="21"/>
  <c r="AH353" i="21"/>
  <c r="AG353" i="21"/>
  <c r="AF353" i="21"/>
  <c r="AE353" i="21"/>
  <c r="AC353" i="21"/>
  <c r="Y354" i="21"/>
  <c r="Z354" i="21"/>
  <c r="X354" i="21"/>
  <c r="AB354" i="21"/>
  <c r="L354" i="21"/>
  <c r="M354" i="21"/>
  <c r="N354" i="21"/>
  <c r="I354" i="21"/>
  <c r="K354" i="21"/>
  <c r="G354" i="21"/>
  <c r="F354" i="21"/>
  <c r="A355" i="21"/>
  <c r="D354" i="21"/>
  <c r="C354" i="21"/>
  <c r="B354" i="21"/>
  <c r="E354" i="21"/>
  <c r="O354" i="21" l="1"/>
  <c r="AD354" i="21"/>
  <c r="AU354" i="21"/>
  <c r="AV355" i="21"/>
  <c r="AT355" i="21"/>
  <c r="AA355" i="21"/>
  <c r="O355" i="21" s="1"/>
  <c r="W353" i="21"/>
  <c r="U353" i="21"/>
  <c r="AH354" i="21"/>
  <c r="AG354" i="21"/>
  <c r="AF354" i="21"/>
  <c r="AE354" i="21"/>
  <c r="AC354" i="21"/>
  <c r="X355" i="21"/>
  <c r="AB355" i="21"/>
  <c r="Y355" i="21"/>
  <c r="Z355" i="21"/>
  <c r="N355" i="21"/>
  <c r="L355" i="21"/>
  <c r="M355" i="21"/>
  <c r="K355" i="21"/>
  <c r="I355" i="21"/>
  <c r="F355" i="21"/>
  <c r="G355" i="21"/>
  <c r="E355" i="21"/>
  <c r="A356" i="21"/>
  <c r="D355" i="21"/>
  <c r="C355" i="21"/>
  <c r="B355" i="21"/>
  <c r="R355" i="21" l="1"/>
  <c r="AD355" i="21"/>
  <c r="AU355" i="21"/>
  <c r="AV356" i="21"/>
  <c r="AT356" i="21"/>
  <c r="U354" i="21"/>
  <c r="W354" i="21"/>
  <c r="AH355" i="21"/>
  <c r="AG355" i="21"/>
  <c r="AF355" i="21"/>
  <c r="AE355" i="21"/>
  <c r="AC355" i="21"/>
  <c r="X356" i="21"/>
  <c r="AB356" i="21"/>
  <c r="Y356" i="21"/>
  <c r="Z356" i="21"/>
  <c r="M356" i="21"/>
  <c r="N356" i="21"/>
  <c r="L356" i="21"/>
  <c r="K356" i="21"/>
  <c r="I356" i="21"/>
  <c r="F356" i="21"/>
  <c r="G356" i="21"/>
  <c r="B356" i="21"/>
  <c r="D356" i="21"/>
  <c r="AA356" i="21" s="1"/>
  <c r="A357" i="21"/>
  <c r="C356" i="21"/>
  <c r="E356" i="21"/>
  <c r="O356" i="21" l="1"/>
  <c r="R356" i="21"/>
  <c r="AD356" i="21"/>
  <c r="AU356" i="21"/>
  <c r="AV357" i="21"/>
  <c r="AT357" i="21"/>
  <c r="U355" i="21"/>
  <c r="W355" i="21"/>
  <c r="X357" i="21"/>
  <c r="AB357" i="21"/>
  <c r="Y357" i="21"/>
  <c r="Z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D357" i="21"/>
  <c r="AA357" i="21" s="1"/>
  <c r="C357" i="21"/>
  <c r="B357" i="21"/>
  <c r="E357" i="21"/>
  <c r="A358" i="21"/>
  <c r="O357" i="21" l="1"/>
  <c r="R357" i="21"/>
  <c r="AV358" i="21"/>
  <c r="AT358" i="21"/>
  <c r="AD357" i="21"/>
  <c r="AU357" i="21"/>
  <c r="U356" i="21"/>
  <c r="W356" i="21"/>
  <c r="Y358" i="21"/>
  <c r="Z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A359" i="21"/>
  <c r="D358" i="21"/>
  <c r="C358" i="21"/>
  <c r="E358" i="21"/>
  <c r="B358" i="21"/>
  <c r="AD358" i="21" l="1"/>
  <c r="AU358" i="21"/>
  <c r="AA358" i="21"/>
  <c r="AV359" i="21"/>
  <c r="AT359" i="21"/>
  <c r="W357" i="21"/>
  <c r="U357" i="21"/>
  <c r="AH358" i="21"/>
  <c r="AG358" i="21"/>
  <c r="AF358" i="21"/>
  <c r="AE358" i="21"/>
  <c r="AC358" i="21"/>
  <c r="Y359" i="21"/>
  <c r="Z359" i="21"/>
  <c r="X359" i="21"/>
  <c r="AB359" i="21"/>
  <c r="M359" i="21"/>
  <c r="N359" i="21"/>
  <c r="L359" i="21"/>
  <c r="K359" i="21"/>
  <c r="I359" i="21"/>
  <c r="G359" i="21"/>
  <c r="F359" i="21"/>
  <c r="E359" i="21"/>
  <c r="A360" i="21"/>
  <c r="D359" i="21"/>
  <c r="AA359" i="21" s="1"/>
  <c r="C359" i="21"/>
  <c r="B359" i="21"/>
  <c r="R359" i="21" l="1"/>
  <c r="O359" i="21"/>
  <c r="O358" i="21"/>
  <c r="R358" i="21"/>
  <c r="AV360" i="21"/>
  <c r="AT360" i="21"/>
  <c r="AD359" i="21"/>
  <c r="AU359" i="21"/>
  <c r="U358" i="21"/>
  <c r="W358" i="21"/>
  <c r="W359" i="21"/>
  <c r="AH359" i="21"/>
  <c r="AG359" i="21"/>
  <c r="AF359" i="21"/>
  <c r="AE359" i="21"/>
  <c r="AC359" i="21"/>
  <c r="Y360" i="21"/>
  <c r="Z360" i="21"/>
  <c r="X360" i="21"/>
  <c r="AB360" i="21"/>
  <c r="M360" i="21"/>
  <c r="N360" i="21"/>
  <c r="L360" i="21"/>
  <c r="K360" i="21"/>
  <c r="I360" i="21"/>
  <c r="G360" i="21"/>
  <c r="F360" i="21"/>
  <c r="B360" i="21"/>
  <c r="A361" i="21"/>
  <c r="E360" i="21"/>
  <c r="D360" i="21"/>
  <c r="AA360" i="21" s="1"/>
  <c r="C360" i="21"/>
  <c r="R360" i="21" l="1"/>
  <c r="O360" i="21"/>
  <c r="AV361" i="21"/>
  <c r="AT361" i="21"/>
  <c r="AD360" i="21"/>
  <c r="AU360" i="21"/>
  <c r="U359" i="21"/>
  <c r="W360" i="21"/>
  <c r="AH360" i="21"/>
  <c r="AG360" i="21"/>
  <c r="AF360" i="21"/>
  <c r="AE360" i="21"/>
  <c r="AC360" i="21"/>
  <c r="X361" i="21"/>
  <c r="AB361" i="21"/>
  <c r="Y361" i="21"/>
  <c r="Z361" i="21"/>
  <c r="N361" i="21"/>
  <c r="K361" i="21"/>
  <c r="M361" i="21"/>
  <c r="L361" i="21"/>
  <c r="I361" i="21"/>
  <c r="G361" i="21"/>
  <c r="F361" i="21"/>
  <c r="E361" i="21"/>
  <c r="D361" i="21"/>
  <c r="C361" i="21"/>
  <c r="A362" i="21"/>
  <c r="B361" i="21"/>
  <c r="AV362" i="21" l="1"/>
  <c r="AT362" i="21"/>
  <c r="AD361" i="21"/>
  <c r="AU361" i="21"/>
  <c r="AA361" i="21"/>
  <c r="U360" i="21"/>
  <c r="Y362" i="21"/>
  <c r="Z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A363" i="21"/>
  <c r="D362" i="21"/>
  <c r="C362" i="21"/>
  <c r="E362" i="21"/>
  <c r="B362" i="21"/>
  <c r="R361" i="21" l="1"/>
  <c r="O361" i="21"/>
  <c r="AD362" i="21"/>
  <c r="AU362" i="21"/>
  <c r="AA362" i="21"/>
  <c r="AV363" i="21"/>
  <c r="AT363" i="21"/>
  <c r="W361" i="21"/>
  <c r="U361" i="21"/>
  <c r="AH362" i="21"/>
  <c r="AG362" i="21"/>
  <c r="AF362" i="21"/>
  <c r="AE362" i="21"/>
  <c r="AC362" i="21"/>
  <c r="Y363" i="21"/>
  <c r="Z363" i="21"/>
  <c r="X363" i="21"/>
  <c r="AB363" i="21"/>
  <c r="L363" i="21"/>
  <c r="M363" i="21"/>
  <c r="N363" i="21"/>
  <c r="K363" i="21"/>
  <c r="I363" i="21"/>
  <c r="G363" i="21"/>
  <c r="F363" i="21"/>
  <c r="E363" i="21"/>
  <c r="A364" i="21"/>
  <c r="D363" i="21"/>
  <c r="AA363" i="21" s="1"/>
  <c r="C363" i="21"/>
  <c r="B363" i="21"/>
  <c r="O363" i="21" l="1"/>
  <c r="R363" i="21"/>
  <c r="AV364" i="21"/>
  <c r="AT364" i="21"/>
  <c r="O362" i="21"/>
  <c r="R362" i="21"/>
  <c r="AD363" i="21"/>
  <c r="AU363" i="21"/>
  <c r="U362" i="21"/>
  <c r="W362" i="21"/>
  <c r="AH363" i="21"/>
  <c r="AG363" i="21"/>
  <c r="AF363" i="21"/>
  <c r="AE363" i="21"/>
  <c r="AC363" i="21"/>
  <c r="AB364" i="21"/>
  <c r="Y364" i="21"/>
  <c r="Z364" i="21"/>
  <c r="X364" i="21"/>
  <c r="L364" i="21"/>
  <c r="M364" i="21"/>
  <c r="N364" i="21"/>
  <c r="G364" i="21"/>
  <c r="K364" i="21"/>
  <c r="I364" i="21"/>
  <c r="F364" i="21"/>
  <c r="B364" i="21"/>
  <c r="C364" i="21"/>
  <c r="E364" i="21"/>
  <c r="D364" i="21"/>
  <c r="AA364" i="21" s="1"/>
  <c r="A365" i="21"/>
  <c r="O364" i="21" l="1"/>
  <c r="R364" i="21"/>
  <c r="AV365" i="21"/>
  <c r="AT365" i="21"/>
  <c r="AD364" i="21"/>
  <c r="AU364" i="21"/>
  <c r="U363" i="21"/>
  <c r="W363" i="21"/>
  <c r="X365" i="21"/>
  <c r="AB365" i="21"/>
  <c r="Y365" i="21"/>
  <c r="Z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E365" i="21"/>
  <c r="A366" i="21"/>
  <c r="D365" i="21"/>
  <c r="AA365" i="21" s="1"/>
  <c r="C365" i="21"/>
  <c r="B365" i="21"/>
  <c r="R365" i="21" l="1"/>
  <c r="O365" i="21"/>
  <c r="AV366" i="21"/>
  <c r="AT366" i="21"/>
  <c r="AD365" i="21"/>
  <c r="AU365" i="21"/>
  <c r="W364" i="21"/>
  <c r="U364" i="21"/>
  <c r="AH365" i="21"/>
  <c r="AG365" i="21"/>
  <c r="AF365" i="21"/>
  <c r="AE365" i="21"/>
  <c r="AC365" i="21"/>
  <c r="Y366" i="21"/>
  <c r="Z366" i="21"/>
  <c r="X366" i="21"/>
  <c r="AB366" i="21"/>
  <c r="L366" i="21"/>
  <c r="M366" i="21"/>
  <c r="N366" i="21"/>
  <c r="I366" i="21"/>
  <c r="K366" i="21"/>
  <c r="G366" i="21"/>
  <c r="F366" i="21"/>
  <c r="A367" i="21"/>
  <c r="D366" i="21"/>
  <c r="C366" i="21"/>
  <c r="E366" i="21"/>
  <c r="B366" i="21"/>
  <c r="AD366" i="21" l="1"/>
  <c r="AU366" i="21"/>
  <c r="AV367" i="21"/>
  <c r="AT367" i="21"/>
  <c r="AA366" i="21"/>
  <c r="U365" i="21"/>
  <c r="W365" i="21"/>
  <c r="AH366" i="21"/>
  <c r="AG366" i="21"/>
  <c r="AF366" i="21"/>
  <c r="AE366" i="21"/>
  <c r="AC366" i="21"/>
  <c r="X367" i="21"/>
  <c r="AB367" i="21"/>
  <c r="Y367" i="21"/>
  <c r="Z367" i="21"/>
  <c r="N367" i="21"/>
  <c r="L367" i="21"/>
  <c r="M367" i="21"/>
  <c r="I367" i="21"/>
  <c r="K367" i="21"/>
  <c r="F367" i="21"/>
  <c r="G367" i="21"/>
  <c r="E367" i="21"/>
  <c r="A368" i="21"/>
  <c r="D367" i="21"/>
  <c r="AA367" i="21" s="1"/>
  <c r="C367" i="21"/>
  <c r="B367" i="21"/>
  <c r="R367" i="21" l="1"/>
  <c r="O367" i="21"/>
  <c r="O366" i="21"/>
  <c r="R366" i="21"/>
  <c r="AD367" i="21"/>
  <c r="AU367" i="21"/>
  <c r="AV368" i="21"/>
  <c r="AT368" i="21"/>
  <c r="AA368" i="21"/>
  <c r="R368" i="21" s="1"/>
  <c r="U366" i="21"/>
  <c r="W366" i="21"/>
  <c r="W367" i="21"/>
  <c r="AH367" i="21"/>
  <c r="AG367" i="21"/>
  <c r="AF367" i="21"/>
  <c r="AE367" i="21"/>
  <c r="AC367" i="21"/>
  <c r="X368" i="21"/>
  <c r="AB368" i="21"/>
  <c r="Y368" i="21"/>
  <c r="Z368" i="21"/>
  <c r="M368" i="21"/>
  <c r="N368" i="21"/>
  <c r="L368" i="21"/>
  <c r="K368" i="21"/>
  <c r="I368" i="21"/>
  <c r="F368" i="21"/>
  <c r="G368" i="21"/>
  <c r="B368" i="21"/>
  <c r="D368" i="21"/>
  <c r="C368" i="21"/>
  <c r="A369" i="21"/>
  <c r="E368" i="21"/>
  <c r="AD368" i="21" l="1"/>
  <c r="AU368" i="21"/>
  <c r="O368" i="21"/>
  <c r="AV369" i="21"/>
  <c r="AT369" i="21"/>
  <c r="U367" i="21"/>
  <c r="C9" i="13"/>
  <c r="W368" i="21"/>
  <c r="X369" i="21"/>
  <c r="AB369" i="21"/>
  <c r="Y369" i="21"/>
  <c r="G6" i="23" s="1"/>
  <c r="Z369" i="21"/>
  <c r="M369" i="21"/>
  <c r="N369" i="21"/>
  <c r="L369" i="21"/>
  <c r="K369" i="21"/>
  <c r="I369" i="21"/>
  <c r="F369" i="21"/>
  <c r="G369" i="21"/>
  <c r="C12" i="13"/>
  <c r="C18" i="13"/>
  <c r="C15" i="13"/>
  <c r="AH368" i="21"/>
  <c r="AG368" i="21"/>
  <c r="AF368" i="21"/>
  <c r="AC368" i="21"/>
  <c r="AE368" i="21"/>
  <c r="C369" i="21"/>
  <c r="B369" i="21"/>
  <c r="D369" i="21"/>
  <c r="AU369" i="21" s="1"/>
  <c r="E369" i="21"/>
  <c r="AA369" i="21" l="1"/>
  <c r="I6" i="23" s="1"/>
  <c r="U368" i="21"/>
  <c r="I4" i="23"/>
  <c r="I5" i="23"/>
  <c r="G5" i="23"/>
  <c r="G4" i="23"/>
  <c r="U369" i="21"/>
  <c r="AD369" i="2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R369" i="21" l="1"/>
  <c r="O369" i="21"/>
  <c r="Q97" i="22" s="1"/>
  <c r="B21" i="12" s="1"/>
  <c r="W369" i="21"/>
  <c r="R3" i="22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R97" i="22" l="1"/>
  <c r="U97" i="22"/>
  <c r="X97" i="22" s="1"/>
  <c r="S10" i="22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Z87" i="22"/>
  <c r="Z85" i="22"/>
  <c r="AL55" i="1"/>
  <c r="Y53" i="21"/>
  <c r="AL51" i="1"/>
  <c r="AA49" i="21" s="1"/>
  <c r="Y49" i="21"/>
  <c r="AL43" i="1"/>
  <c r="AA41" i="21" s="1"/>
  <c r="Y41" i="21"/>
  <c r="AL19" i="1"/>
  <c r="AA17" i="21" s="1"/>
  <c r="Y17" i="21"/>
  <c r="AL27" i="1"/>
  <c r="AA25" i="21" s="1"/>
  <c r="AL50" i="1"/>
  <c r="AA48" i="21" s="1"/>
  <c r="Y48" i="21"/>
  <c r="AL42" i="1"/>
  <c r="AA40" i="21" s="1"/>
  <c r="Y40" i="21"/>
  <c r="AL34" i="1"/>
  <c r="AA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AL53" i="1"/>
  <c r="AA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Y31" i="21"/>
  <c r="AL29" i="1"/>
  <c r="AA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Y42" i="21"/>
  <c r="AL40" i="1"/>
  <c r="AA38" i="21" s="1"/>
  <c r="Y38" i="21"/>
  <c r="AL36" i="1"/>
  <c r="AA34" i="21" s="1"/>
  <c r="Y34" i="21"/>
  <c r="AL32" i="1"/>
  <c r="AA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O45" i="21"/>
  <c r="R45" i="21"/>
  <c r="O20" i="21"/>
  <c r="R20" i="21"/>
  <c r="O40" i="21"/>
  <c r="R40" i="21"/>
  <c r="O3" i="21"/>
  <c r="R3" i="21"/>
  <c r="O6" i="21"/>
  <c r="R6" i="21"/>
  <c r="O7" i="21"/>
  <c r="R7" i="21"/>
  <c r="O9" i="21"/>
  <c r="R9" i="21"/>
  <c r="O21" i="21"/>
  <c r="R21" i="21"/>
  <c r="O24" i="21"/>
  <c r="R24" i="21"/>
  <c r="O36" i="21"/>
  <c r="R36" i="21"/>
  <c r="O52" i="21"/>
  <c r="R52" i="21"/>
  <c r="O17" i="21"/>
  <c r="R17" i="21"/>
  <c r="O49" i="21"/>
  <c r="R49" i="21"/>
  <c r="O2" i="21"/>
  <c r="R2" i="21"/>
  <c r="O18" i="21"/>
  <c r="R18" i="21"/>
  <c r="O34" i="21"/>
  <c r="R34" i="21"/>
  <c r="O50" i="21"/>
  <c r="R50" i="21"/>
  <c r="O19" i="21"/>
  <c r="R19" i="21"/>
  <c r="O35" i="21"/>
  <c r="R35" i="21"/>
  <c r="O51" i="21"/>
  <c r="R51" i="21"/>
  <c r="O4" i="21"/>
  <c r="R4" i="21"/>
  <c r="O14" i="21"/>
  <c r="R14" i="21"/>
  <c r="O15" i="21"/>
  <c r="R15" i="21"/>
  <c r="O22" i="21"/>
  <c r="R22" i="21"/>
  <c r="O30" i="21"/>
  <c r="R30" i="21"/>
  <c r="O38" i="21"/>
  <c r="R38" i="21"/>
  <c r="O46" i="21"/>
  <c r="R46" i="21"/>
  <c r="O33" i="21"/>
  <c r="R33" i="21"/>
  <c r="O23" i="21"/>
  <c r="R23" i="21"/>
  <c r="O31" i="21"/>
  <c r="R31" i="21"/>
  <c r="O39" i="21"/>
  <c r="R39" i="21"/>
  <c r="O47" i="21"/>
  <c r="R47" i="21"/>
  <c r="O32" i="21"/>
  <c r="R32" i="21"/>
  <c r="O48" i="21"/>
  <c r="R48" i="21"/>
  <c r="O37" i="21"/>
  <c r="R37" i="21"/>
  <c r="O13" i="21"/>
  <c r="R13" i="21"/>
  <c r="O26" i="21"/>
  <c r="R26" i="21"/>
  <c r="O42" i="21"/>
  <c r="R42" i="21"/>
  <c r="O29" i="21"/>
  <c r="R29" i="21"/>
  <c r="O27" i="21"/>
  <c r="R27" i="21"/>
  <c r="O43" i="21"/>
  <c r="R43" i="21"/>
  <c r="O5" i="21"/>
  <c r="R5" i="21"/>
  <c r="O10" i="21"/>
  <c r="R10" i="21"/>
  <c r="O11" i="21"/>
  <c r="R11" i="21"/>
  <c r="O12" i="21"/>
  <c r="R12" i="21"/>
  <c r="O16" i="21"/>
  <c r="R16" i="21"/>
  <c r="O28" i="21"/>
  <c r="R28" i="21"/>
  <c r="O44" i="21"/>
  <c r="R44" i="21"/>
  <c r="O25" i="21"/>
  <c r="R25" i="21"/>
  <c r="O41" i="21"/>
  <c r="R41" i="21"/>
  <c r="AA8" i="21"/>
  <c r="W8" i="21" s="1"/>
  <c r="AA53" i="21"/>
  <c r="AL2" i="7"/>
  <c r="AK28" i="7"/>
  <c r="W30" i="21"/>
  <c r="U34" i="21"/>
  <c r="W33" i="21"/>
  <c r="U27" i="21"/>
  <c r="W31" i="21"/>
  <c r="U51" i="21"/>
  <c r="W52" i="21"/>
  <c r="W32" i="21"/>
  <c r="U48" i="21"/>
  <c r="W25" i="21"/>
  <c r="U17" i="21"/>
  <c r="W49" i="21"/>
  <c r="W53" i="21"/>
  <c r="G2" i="23"/>
  <c r="G3" i="23"/>
  <c r="AM3" i="7"/>
  <c r="AM2" i="7"/>
  <c r="E9" i="13"/>
  <c r="AL31" i="7"/>
  <c r="AI3" i="7"/>
  <c r="AJ3" i="7"/>
  <c r="W48" i="21"/>
  <c r="U53" i="21"/>
  <c r="AM31" i="7"/>
  <c r="AI31" i="7"/>
  <c r="AI30" i="7"/>
  <c r="AH30" i="7"/>
  <c r="U25" i="21"/>
  <c r="AM28" i="7"/>
  <c r="AL30" i="7"/>
  <c r="AJ27" i="7"/>
  <c r="AL26" i="7"/>
  <c r="U10" i="21"/>
  <c r="U11" i="21"/>
  <c r="W12" i="21"/>
  <c r="AI26" i="7"/>
  <c r="W18" i="21"/>
  <c r="W26" i="21"/>
  <c r="W34" i="21"/>
  <c r="W50" i="21"/>
  <c r="U19" i="21"/>
  <c r="U35" i="21"/>
  <c r="U43" i="21"/>
  <c r="W5" i="21"/>
  <c r="W14" i="21"/>
  <c r="U15" i="21"/>
  <c r="W29" i="21"/>
  <c r="U16" i="21"/>
  <c r="W16" i="21"/>
  <c r="W44" i="21"/>
  <c r="U29" i="21"/>
  <c r="U2" i="21"/>
  <c r="W28" i="21"/>
  <c r="U44" i="21"/>
  <c r="W3" i="21"/>
  <c r="W6" i="21"/>
  <c r="U13" i="21"/>
  <c r="U24" i="21"/>
  <c r="U36" i="21"/>
  <c r="U28" i="21"/>
  <c r="U4" i="21"/>
  <c r="W7" i="21"/>
  <c r="U9" i="21"/>
  <c r="W22" i="21"/>
  <c r="U30" i="21"/>
  <c r="U38" i="21"/>
  <c r="W46" i="21"/>
  <c r="U23" i="21"/>
  <c r="U31" i="21"/>
  <c r="U39" i="21"/>
  <c r="U47" i="21"/>
  <c r="W45" i="21"/>
  <c r="U20" i="21"/>
  <c r="U40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U8" i="21" l="1"/>
  <c r="O8" i="21"/>
  <c r="R8" i="21"/>
  <c r="O53" i="21"/>
  <c r="R53" i="21"/>
  <c r="W51" i="21"/>
  <c r="W27" i="21"/>
  <c r="I2" i="23"/>
  <c r="I3" i="23"/>
  <c r="W21" i="21"/>
  <c r="W37" i="21"/>
  <c r="W17" i="21"/>
  <c r="W42" i="21"/>
  <c r="U32" i="21"/>
  <c r="U33" i="21"/>
  <c r="W41" i="21"/>
  <c r="U49" i="21"/>
  <c r="U52" i="21"/>
  <c r="U42" i="21"/>
  <c r="U41" i="21"/>
  <c r="U21" i="21"/>
  <c r="U37" i="21"/>
  <c r="Q85" i="22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Q87" i="22" l="1"/>
  <c r="B11" i="12" s="1"/>
  <c r="Q86" i="22"/>
  <c r="B10" i="12" s="1"/>
  <c r="U85" i="22"/>
  <c r="X85" i="22" s="1"/>
  <c r="R85" i="22"/>
  <c r="R87" i="22" l="1"/>
  <c r="U87" i="22"/>
  <c r="X87" i="22" s="1"/>
  <c r="R86" i="22"/>
  <c r="S86" i="22" s="1"/>
  <c r="U86" i="22"/>
  <c r="V91" i="22" s="1"/>
  <c r="Y91" i="22" s="1"/>
  <c r="V97" i="22" l="1"/>
  <c r="Y97" i="22" s="1"/>
  <c r="V95" i="22"/>
  <c r="Y95" i="22" s="1"/>
  <c r="V86" i="22"/>
  <c r="Y86" i="22" s="1"/>
  <c r="V92" i="22"/>
  <c r="Y92" i="22" s="1"/>
  <c r="V87" i="22"/>
  <c r="Y87" i="22" s="1"/>
  <c r="V93" i="22"/>
  <c r="Y93" i="22" s="1"/>
  <c r="V94" i="22"/>
  <c r="Y94" i="22" s="1"/>
  <c r="V88" i="22"/>
  <c r="Y88" i="22" s="1"/>
  <c r="S90" i="22"/>
  <c r="S93" i="22"/>
  <c r="S89" i="22"/>
  <c r="S95" i="22"/>
  <c r="S91" i="22"/>
  <c r="S88" i="22"/>
  <c r="S92" i="22"/>
  <c r="S94" i="22"/>
  <c r="V89" i="22"/>
  <c r="Y89" i="22" s="1"/>
  <c r="V90" i="22"/>
  <c r="Y90" i="22" s="1"/>
  <c r="X86" i="22"/>
  <c r="S96" i="22"/>
  <c r="S87" i="22"/>
  <c r="S97" i="22"/>
  <c r="V96" i="22"/>
  <c r="Y96" i="22" s="1"/>
  <c r="C4" i="6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C4" i="10" s="1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19" i="13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H11" i="12" l="1"/>
  <c r="J10" i="12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R24" i="22" s="1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31" i="22" l="1"/>
  <c r="U33" i="22"/>
  <c r="X33" i="22" s="1"/>
  <c r="R47" i="22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C36" i="6" l="1"/>
  <c r="H37" i="6"/>
  <c r="F36" i="6"/>
  <c r="G36" i="6" s="1"/>
  <c r="H21" i="7"/>
  <c r="C20" i="7"/>
  <c r="F20" i="7"/>
  <c r="G20" i="7" s="1"/>
  <c r="C35" i="6"/>
  <c r="F35" i="6"/>
  <c r="G35" i="6" s="1"/>
  <c r="C37" i="6" l="1"/>
  <c r="H38" i="6"/>
  <c r="F37" i="6"/>
  <c r="G37" i="6" s="1"/>
  <c r="H22" i="7"/>
  <c r="C21" i="7"/>
  <c r="F21" i="7"/>
  <c r="G21" i="7" s="1"/>
  <c r="C38" i="6" l="1"/>
  <c r="H39" i="6"/>
  <c r="F38" i="6"/>
  <c r="G38" i="6" s="1"/>
  <c r="H23" i="7"/>
  <c r="C22" i="7"/>
  <c r="F22" i="7"/>
  <c r="G22" i="7" s="1"/>
  <c r="C39" i="6" l="1"/>
  <c r="H40" i="6"/>
  <c r="F39" i="6"/>
  <c r="G39" i="6" s="1"/>
  <c r="H24" i="7"/>
  <c r="C23" i="7"/>
  <c r="F23" i="7"/>
  <c r="G23" i="7" s="1"/>
  <c r="C40" i="6" l="1"/>
  <c r="H41" i="6"/>
  <c r="F40" i="6"/>
  <c r="G40" i="6" s="1"/>
  <c r="H25" i="7"/>
  <c r="C24" i="7"/>
  <c r="F24" i="7"/>
  <c r="G24" i="7" s="1"/>
  <c r="C41" i="6" l="1"/>
  <c r="H42" i="6"/>
  <c r="F41" i="6"/>
  <c r="G41" i="6" s="1"/>
  <c r="H26" i="7"/>
  <c r="C25" i="7"/>
  <c r="F25" i="7"/>
  <c r="G25" i="7" s="1"/>
  <c r="C42" i="6" l="1"/>
  <c r="H43" i="6"/>
  <c r="F42" i="6"/>
  <c r="G42" i="6" s="1"/>
  <c r="H27" i="7"/>
  <c r="C26" i="7"/>
  <c r="F26" i="7"/>
  <c r="G26" i="7" s="1"/>
  <c r="C43" i="6" l="1"/>
  <c r="H44" i="6"/>
  <c r="F43" i="6"/>
  <c r="G43" i="6" s="1"/>
  <c r="H28" i="7"/>
  <c r="C27" i="7"/>
  <c r="F27" i="7"/>
  <c r="G27" i="7" s="1"/>
  <c r="C44" i="6" l="1"/>
  <c r="H45" i="6"/>
  <c r="F44" i="6"/>
  <c r="G44" i="6" s="1"/>
  <c r="H29" i="7"/>
  <c r="C28" i="7"/>
  <c r="F28" i="7"/>
  <c r="G28" i="7" s="1"/>
  <c r="C45" i="6" l="1"/>
  <c r="H46" i="6"/>
  <c r="F45" i="6"/>
  <c r="G45" i="6" s="1"/>
  <c r="H30" i="7"/>
  <c r="F29" i="7"/>
  <c r="G29" i="7" s="1"/>
  <c r="C29" i="7"/>
  <c r="F46" i="6" l="1"/>
  <c r="G46" i="6" s="1"/>
  <c r="C46" i="6"/>
  <c r="H47" i="6"/>
  <c r="H31" i="7"/>
  <c r="F30" i="7"/>
  <c r="G30" i="7" s="1"/>
  <c r="C30" i="7"/>
  <c r="F47" i="6" l="1"/>
  <c r="G47" i="6" s="1"/>
  <c r="C47" i="6"/>
  <c r="H48" i="6"/>
  <c r="H32" i="7"/>
  <c r="F31" i="7"/>
  <c r="G31" i="7" s="1"/>
  <c r="C31" i="7"/>
  <c r="F48" i="6" l="1"/>
  <c r="G48" i="6" s="1"/>
  <c r="C48" i="6"/>
  <c r="H49" i="6"/>
  <c r="H33" i="7"/>
  <c r="C32" i="7"/>
  <c r="F32" i="7"/>
  <c r="G32" i="7" s="1"/>
  <c r="H50" i="6" l="1"/>
  <c r="F49" i="6"/>
  <c r="G49" i="6" s="1"/>
  <c r="C49" i="6"/>
  <c r="H34" i="7"/>
  <c r="C33" i="7"/>
  <c r="F33" i="7"/>
  <c r="G33" i="7" s="1"/>
  <c r="H51" i="6" l="1"/>
  <c r="F50" i="6"/>
  <c r="G50" i="6" s="1"/>
  <c r="C50" i="6"/>
  <c r="H35" i="7"/>
  <c r="C34" i="7"/>
  <c r="F34" i="7"/>
  <c r="G34" i="7" s="1"/>
  <c r="H52" i="6" l="1"/>
  <c r="F51" i="6"/>
  <c r="G51" i="6" s="1"/>
  <c r="C51" i="6"/>
  <c r="H36" i="7"/>
  <c r="C35" i="7"/>
  <c r="F35" i="7"/>
  <c r="G35" i="7" s="1"/>
  <c r="C52" i="6" l="1"/>
  <c r="H53" i="6"/>
  <c r="F52" i="6"/>
  <c r="G52" i="6" s="1"/>
  <c r="H37" i="7"/>
  <c r="C36" i="7"/>
  <c r="F36" i="7"/>
  <c r="G36" i="7" s="1"/>
  <c r="C53" i="6" l="1"/>
  <c r="H54" i="6"/>
  <c r="F53" i="6"/>
  <c r="G53" i="6" s="1"/>
  <c r="H38" i="7"/>
  <c r="C37" i="7"/>
  <c r="F37" i="7"/>
  <c r="G37" i="7" s="1"/>
  <c r="C54" i="6" l="1"/>
  <c r="H55" i="6"/>
  <c r="F54" i="6"/>
  <c r="G54" i="6" s="1"/>
  <c r="H39" i="7"/>
  <c r="F38" i="7"/>
  <c r="G38" i="7" s="1"/>
  <c r="C38" i="7"/>
  <c r="C55" i="6" l="1"/>
  <c r="H56" i="6"/>
  <c r="F55" i="6"/>
  <c r="G55" i="6" s="1"/>
  <c r="H40" i="7"/>
  <c r="C39" i="7"/>
  <c r="F39" i="7"/>
  <c r="G39" i="7" s="1"/>
  <c r="C56" i="6" l="1"/>
  <c r="H57" i="6"/>
  <c r="F56" i="6"/>
  <c r="G56" i="6" s="1"/>
  <c r="H41" i="7"/>
  <c r="C40" i="7"/>
  <c r="F40" i="7"/>
  <c r="G40" i="7" s="1"/>
  <c r="C57" i="6" l="1"/>
  <c r="H58" i="6"/>
  <c r="F57" i="6"/>
  <c r="G57" i="6" s="1"/>
  <c r="H42" i="7"/>
  <c r="F41" i="7"/>
  <c r="G41" i="7" s="1"/>
  <c r="C41" i="7"/>
  <c r="C58" i="6" l="1"/>
  <c r="H59" i="6"/>
  <c r="F58" i="6"/>
  <c r="G58" i="6" s="1"/>
  <c r="H43" i="7"/>
  <c r="F42" i="7"/>
  <c r="G42" i="7" s="1"/>
  <c r="C42" i="7"/>
  <c r="C59" i="6" l="1"/>
  <c r="H60" i="6"/>
  <c r="F59" i="6"/>
  <c r="G59" i="6" s="1"/>
  <c r="H44" i="7"/>
  <c r="F43" i="7"/>
  <c r="G43" i="7" s="1"/>
  <c r="C43" i="7"/>
  <c r="C60" i="6" l="1"/>
  <c r="H61" i="6"/>
  <c r="F60" i="6"/>
  <c r="G60" i="6" s="1"/>
  <c r="C44" i="7"/>
  <c r="F44" i="7"/>
  <c r="G44" i="7" s="1"/>
  <c r="C61" i="6" l="1"/>
  <c r="H62" i="6"/>
  <c r="F61" i="6"/>
  <c r="G61" i="6" s="1"/>
  <c r="F62" i="6" l="1"/>
  <c r="G62" i="6" s="1"/>
  <c r="C62" i="6"/>
  <c r="H63" i="6"/>
  <c r="F63" i="6" l="1"/>
  <c r="G63" i="6" s="1"/>
  <c r="C63" i="6"/>
  <c r="H64" i="6"/>
  <c r="F64" i="6" l="1"/>
  <c r="G64" i="6" s="1"/>
  <c r="C64" i="6"/>
  <c r="H65" i="6"/>
  <c r="H66" i="6" l="1"/>
  <c r="F65" i="6"/>
  <c r="G65" i="6" s="1"/>
  <c r="C65" i="6"/>
  <c r="H67" i="6" l="1"/>
  <c r="F66" i="6"/>
  <c r="G66" i="6" s="1"/>
  <c r="C66" i="6"/>
  <c r="H68" i="6" l="1"/>
  <c r="F67" i="6"/>
  <c r="G67" i="6" s="1"/>
  <c r="C67" i="6"/>
  <c r="C68" i="6" l="1"/>
  <c r="H69" i="6"/>
  <c r="F68" i="6"/>
  <c r="G68" i="6" s="1"/>
  <c r="C69" i="6" l="1"/>
  <c r="H70" i="6"/>
  <c r="F69" i="6"/>
  <c r="G69" i="6" s="1"/>
  <c r="C70" i="6" l="1"/>
  <c r="H71" i="6"/>
  <c r="F70" i="6"/>
  <c r="G70" i="6" s="1"/>
  <c r="C71" i="6" l="1"/>
  <c r="H72" i="6"/>
  <c r="F71" i="6"/>
  <c r="G71" i="6" s="1"/>
  <c r="C72" i="6" l="1"/>
  <c r="H73" i="6"/>
  <c r="F72" i="6"/>
  <c r="G72" i="6" s="1"/>
  <c r="C73" i="6" l="1"/>
  <c r="H74" i="6"/>
  <c r="F73" i="6"/>
  <c r="G73" i="6" s="1"/>
  <c r="C74" i="6" l="1"/>
  <c r="H75" i="6"/>
  <c r="F74" i="6"/>
  <c r="G74" i="6" s="1"/>
  <c r="C75" i="6" l="1"/>
  <c r="H76" i="6"/>
  <c r="F75" i="6"/>
  <c r="G75" i="6" s="1"/>
  <c r="C76" i="6" l="1"/>
  <c r="H77" i="6"/>
  <c r="F76" i="6"/>
  <c r="G76" i="6" s="1"/>
  <c r="C77" i="6" l="1"/>
  <c r="H78" i="6"/>
  <c r="F77" i="6"/>
  <c r="G77" i="6" s="1"/>
  <c r="F78" i="6" l="1"/>
  <c r="G78" i="6" s="1"/>
  <c r="C78" i="6"/>
  <c r="H79" i="6"/>
  <c r="F79" i="6" l="1"/>
  <c r="G79" i="6" s="1"/>
  <c r="C79" i="6"/>
  <c r="H80" i="6"/>
  <c r="F80" i="6" l="1"/>
  <c r="G80" i="6" s="1"/>
  <c r="C80" i="6"/>
  <c r="H81" i="6"/>
  <c r="H82" i="6" l="1"/>
  <c r="F81" i="6"/>
  <c r="G81" i="6" s="1"/>
  <c r="C81" i="6"/>
  <c r="H83" i="6" l="1"/>
  <c r="F82" i="6"/>
  <c r="G82" i="6" s="1"/>
  <c r="C82" i="6"/>
  <c r="H84" i="6" l="1"/>
  <c r="F83" i="6"/>
  <c r="G83" i="6" s="1"/>
  <c r="C83" i="6"/>
  <c r="C84" i="6" l="1"/>
  <c r="H85" i="6"/>
  <c r="F84" i="6"/>
  <c r="G84" i="6" s="1"/>
  <c r="C85" i="6" l="1"/>
  <c r="H86" i="6"/>
  <c r="F85" i="6"/>
  <c r="G85" i="6" s="1"/>
  <c r="C86" i="6" l="1"/>
  <c r="H87" i="6"/>
  <c r="F86" i="6"/>
  <c r="G86" i="6" s="1"/>
  <c r="C87" i="6" l="1"/>
  <c r="H88" i="6"/>
  <c r="F87" i="6"/>
  <c r="G87" i="6" s="1"/>
  <c r="C88" i="6" l="1"/>
  <c r="H89" i="6"/>
  <c r="F88" i="6"/>
  <c r="G88" i="6" s="1"/>
  <c r="C89" i="6" l="1"/>
  <c r="H90" i="6"/>
  <c r="F89" i="6"/>
  <c r="G89" i="6" s="1"/>
  <c r="C90" i="6" l="1"/>
  <c r="H91" i="6"/>
  <c r="F90" i="6"/>
  <c r="G90" i="6" s="1"/>
  <c r="C91" i="6" l="1"/>
  <c r="H92" i="6"/>
  <c r="F91" i="6"/>
  <c r="G91" i="6" s="1"/>
  <c r="C92" i="6" l="1"/>
  <c r="H93" i="6"/>
  <c r="F92" i="6"/>
  <c r="G92" i="6" s="1"/>
  <c r="C93" i="6" l="1"/>
  <c r="H94" i="6"/>
  <c r="F93" i="6"/>
  <c r="G93" i="6" s="1"/>
  <c r="F94" i="6" l="1"/>
  <c r="G94" i="6" s="1"/>
  <c r="C94" i="6"/>
  <c r="H95" i="6"/>
  <c r="F95" i="6" l="1"/>
  <c r="G95" i="6" s="1"/>
  <c r="C95" i="6"/>
  <c r="H96" i="6"/>
  <c r="F96" i="6" l="1"/>
  <c r="G96" i="6" s="1"/>
  <c r="C96" i="6"/>
  <c r="H97" i="6"/>
  <c r="H98" i="6" l="1"/>
  <c r="F97" i="6"/>
  <c r="G97" i="6" s="1"/>
  <c r="C97" i="6"/>
  <c r="H99" i="6" l="1"/>
  <c r="F98" i="6"/>
  <c r="G98" i="6" s="1"/>
  <c r="C98" i="6"/>
  <c r="H100" i="6" l="1"/>
  <c r="F99" i="6"/>
  <c r="G99" i="6" s="1"/>
  <c r="C99" i="6"/>
  <c r="C100" i="6" l="1"/>
  <c r="H101" i="6"/>
  <c r="F100" i="6"/>
  <c r="G100" i="6" s="1"/>
  <c r="C101" i="6" l="1"/>
  <c r="H102" i="6"/>
  <c r="F101" i="6"/>
  <c r="G101" i="6" s="1"/>
  <c r="C102" i="6" l="1"/>
  <c r="H103" i="6"/>
  <c r="F102" i="6"/>
  <c r="G102" i="6" s="1"/>
  <c r="C103" i="6" l="1"/>
  <c r="H104" i="6"/>
  <c r="F103" i="6"/>
  <c r="G103" i="6" s="1"/>
  <c r="C104" i="6" l="1"/>
  <c r="H105" i="6"/>
  <c r="F104" i="6"/>
  <c r="G104" i="6" s="1"/>
  <c r="C105" i="6" l="1"/>
  <c r="H106" i="6"/>
  <c r="F105" i="6"/>
  <c r="G105" i="6" s="1"/>
  <c r="C106" i="6" l="1"/>
  <c r="H107" i="6"/>
  <c r="F106" i="6"/>
  <c r="G106" i="6" s="1"/>
  <c r="C107" i="6" l="1"/>
  <c r="H108" i="6"/>
  <c r="F107" i="6"/>
  <c r="G107" i="6" s="1"/>
  <c r="C108" i="6" l="1"/>
  <c r="H109" i="6"/>
  <c r="F108" i="6"/>
  <c r="G108" i="6" s="1"/>
  <c r="C109" i="6" l="1"/>
  <c r="H110" i="6"/>
  <c r="F109" i="6"/>
  <c r="G109" i="6" s="1"/>
  <c r="F110" i="6" l="1"/>
  <c r="G110" i="6" s="1"/>
  <c r="C110" i="6"/>
  <c r="H111" i="6"/>
  <c r="F111" i="6" l="1"/>
  <c r="G111" i="6" s="1"/>
  <c r="C111" i="6"/>
  <c r="H112" i="6"/>
  <c r="F112" i="6" l="1"/>
  <c r="G112" i="6" s="1"/>
  <c r="C112" i="6"/>
  <c r="H113" i="6"/>
  <c r="H114" i="6" l="1"/>
  <c r="F113" i="6"/>
  <c r="G113" i="6" s="1"/>
  <c r="C113" i="6"/>
  <c r="H115" i="6" l="1"/>
  <c r="F114" i="6"/>
  <c r="G114" i="6" s="1"/>
  <c r="C114" i="6"/>
  <c r="H116" i="6" l="1"/>
  <c r="F115" i="6"/>
  <c r="G115" i="6" s="1"/>
  <c r="C115" i="6"/>
  <c r="C116" i="6" l="1"/>
  <c r="H117" i="6"/>
  <c r="F116" i="6"/>
  <c r="G116" i="6" s="1"/>
  <c r="C117" i="6" l="1"/>
  <c r="H118" i="6"/>
  <c r="F117" i="6"/>
  <c r="G117" i="6" s="1"/>
  <c r="C118" i="6" l="1"/>
  <c r="H119" i="6"/>
  <c r="F118" i="6"/>
  <c r="G118" i="6" s="1"/>
  <c r="C119" i="6" l="1"/>
  <c r="H120" i="6"/>
  <c r="F119" i="6"/>
  <c r="G119" i="6" s="1"/>
  <c r="C120" i="6" l="1"/>
  <c r="H121" i="6"/>
  <c r="F120" i="6"/>
  <c r="G120" i="6" s="1"/>
  <c r="C121" i="6" l="1"/>
  <c r="H122" i="6"/>
  <c r="F121" i="6"/>
  <c r="G121" i="6" s="1"/>
  <c r="C122" i="6" l="1"/>
  <c r="H123" i="6"/>
  <c r="F122" i="6"/>
  <c r="G122" i="6" s="1"/>
  <c r="C123" i="6" l="1"/>
  <c r="H124" i="6"/>
  <c r="F123" i="6"/>
  <c r="G123" i="6" s="1"/>
  <c r="C124" i="6" l="1"/>
  <c r="H125" i="6"/>
  <c r="F124" i="6"/>
  <c r="G124" i="6" s="1"/>
  <c r="C125" i="6" l="1"/>
  <c r="H126" i="6"/>
  <c r="F125" i="6"/>
  <c r="G125" i="6" s="1"/>
  <c r="F126" i="6" l="1"/>
  <c r="G126" i="6" s="1"/>
  <c r="C126" i="6"/>
  <c r="H127" i="6"/>
  <c r="F127" i="6" l="1"/>
  <c r="G127" i="6" s="1"/>
  <c r="C127" i="6"/>
  <c r="H128" i="6"/>
  <c r="F128" i="6" l="1"/>
  <c r="G128" i="6" s="1"/>
  <c r="C128" i="6"/>
  <c r="H129" i="6"/>
  <c r="H130" i="6" l="1"/>
  <c r="F129" i="6"/>
  <c r="G129" i="6" s="1"/>
  <c r="C129" i="6"/>
  <c r="H131" i="6" l="1"/>
  <c r="F130" i="6"/>
  <c r="G130" i="6" s="1"/>
  <c r="C130" i="6"/>
  <c r="H132" i="6" l="1"/>
  <c r="F131" i="6"/>
  <c r="G131" i="6" s="1"/>
  <c r="C131" i="6"/>
  <c r="C132" i="6" l="1"/>
  <c r="H133" i="6"/>
  <c r="F132" i="6"/>
  <c r="G132" i="6" s="1"/>
  <c r="C133" i="6" l="1"/>
  <c r="H134" i="6"/>
  <c r="F133" i="6"/>
  <c r="G133" i="6" s="1"/>
  <c r="C134" i="6" l="1"/>
  <c r="H135" i="6"/>
  <c r="F134" i="6"/>
  <c r="G134" i="6" s="1"/>
  <c r="C135" i="6" l="1"/>
  <c r="H136" i="6"/>
  <c r="F135" i="6"/>
  <c r="G135" i="6" s="1"/>
  <c r="C136" i="6" l="1"/>
  <c r="H137" i="6"/>
  <c r="F136" i="6"/>
  <c r="G136" i="6" s="1"/>
  <c r="C137" i="6" l="1"/>
  <c r="F137" i="6"/>
  <c r="G137" i="6" s="1"/>
</calcChain>
</file>

<file path=xl/sharedStrings.xml><?xml version="1.0" encoding="utf-8"?>
<sst xmlns="http://schemas.openxmlformats.org/spreadsheetml/2006/main" count="4457" uniqueCount="1246">
  <si>
    <t>IC1_IDT</t>
  </si>
  <si>
    <t>IC2_IDT</t>
  </si>
  <si>
    <t>Equipment</t>
  </si>
  <si>
    <t>DC Capacity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</si>
  <si>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</si>
  <si>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</si>
  <si>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</si>
  <si>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</si>
  <si>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</si>
  <si>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</si>
  <si>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</si>
  <si>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</si>
  <si>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</si>
  <si>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</si>
  <si>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</si>
  <si>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</si>
  <si>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</si>
  <si>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</si>
  <si>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</si>
  <si>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</si>
  <si>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</si>
  <si>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</si>
  <si>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</si>
  <si>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</si>
  <si>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</si>
  <si>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</si>
  <si>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</si>
  <si>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</si>
  <si>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</si>
  <si>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</si>
  <si>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</si>
  <si>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</si>
  <si>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</si>
  <si>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</si>
  <si>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</si>
  <si>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</si>
  <si>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</si>
  <si>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</si>
  <si>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</si>
  <si>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</si>
  <si>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</si>
  <si>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</si>
  <si>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</si>
  <si>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</si>
  <si>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</si>
  <si>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</si>
  <si>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</si>
  <si>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</si>
  <si>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</si>
  <si>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</si>
  <si>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</si>
  <si>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</si>
  <si>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</si>
  <si>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</si>
  <si>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</si>
  <si>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</si>
  <si>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</si>
  <si>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</si>
  <si>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Fault Code (As per HMI)</t>
  </si>
  <si>
    <t>Fault Time</t>
  </si>
  <si>
    <t>Work Start time on Fault</t>
  </si>
  <si>
    <t>Response Time</t>
  </si>
  <si>
    <t>Resolution Time</t>
  </si>
  <si>
    <t>Breakdown Description</t>
  </si>
  <si>
    <t>Action taken</t>
  </si>
  <si>
    <t>Status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</si>
  <si>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</si>
  <si>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</si>
  <si>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</si>
  <si>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</si>
  <si>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</si>
  <si>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</si>
  <si>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</si>
  <si>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</si>
  <si>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</si>
  <si>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</si>
  <si>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</si>
  <si>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</si>
  <si>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</si>
  <si>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</si>
  <si>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</si>
  <si>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</si>
  <si>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</si>
  <si>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</si>
  <si>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</si>
  <si>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</si>
  <si>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</si>
  <si>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</si>
  <si>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</si>
  <si>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</si>
  <si>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</si>
  <si>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</si>
  <si>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</si>
  <si>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</si>
  <si>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</si>
  <si>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</si>
  <si>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</si>
  <si>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</si>
  <si>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</si>
  <si>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</si>
  <si>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</si>
  <si>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</si>
  <si>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</si>
  <si>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</si>
  <si>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</si>
  <si>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</si>
  <si>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</si>
  <si>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</si>
  <si>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</si>
  <si>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</si>
  <si>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</si>
  <si>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</si>
  <si>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</si>
  <si>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</si>
  <si>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</si>
  <si>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</si>
  <si>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</si>
  <si>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</si>
  <si>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</si>
  <si>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</si>
  <si>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</si>
  <si>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</si>
  <si>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</si>
  <si>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</si>
  <si>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</si>
  <si>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</si>
  <si>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</si>
  <si>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</si>
  <si>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</si>
  <si>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</si>
  <si>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</si>
  <si>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</si>
  <si>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</si>
  <si>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</si>
  <si>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</si>
  <si>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</si>
  <si>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</si>
  <si>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</si>
  <si>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</si>
  <si>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</si>
  <si>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</si>
  <si>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</si>
  <si>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</si>
  <si>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</si>
  <si>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</si>
  <si>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</si>
  <si>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</si>
  <si>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</si>
  <si>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</si>
  <si>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</si>
  <si>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</si>
  <si>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</si>
  <si>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</si>
  <si>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</si>
  <si>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</si>
  <si>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</si>
  <si>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</si>
  <si>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</si>
  <si>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</si>
  <si>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</si>
  <si>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</si>
  <si>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</si>
  <si>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</si>
  <si>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</si>
  <si>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</si>
  <si>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</si>
  <si>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</si>
  <si>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</si>
  <si>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</si>
  <si>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</si>
  <si>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</si>
  <si>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</si>
  <si>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</si>
  <si>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</si>
  <si>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</si>
  <si>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</si>
  <si>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</si>
  <si>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</si>
  <si>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</si>
  <si>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</si>
  <si>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</si>
  <si>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</si>
  <si>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</si>
  <si>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</si>
  <si>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</si>
  <si>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</si>
  <si>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</si>
  <si>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</si>
  <si>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</si>
  <si>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</si>
  <si>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</si>
  <si>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</si>
  <si>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</si>
  <si>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</si>
  <si>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</si>
  <si>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</si>
  <si>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</si>
  <si>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</si>
  <si>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</si>
  <si>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</si>
  <si>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</si>
  <si>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</si>
  <si>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</si>
  <si>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</si>
  <si>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</si>
  <si>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</si>
  <si>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</si>
  <si>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</si>
  <si>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</si>
  <si>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</si>
  <si>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</si>
  <si>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</si>
  <si>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</si>
  <si>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</si>
  <si>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</si>
  <si>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</si>
  <si>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</si>
  <si>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</si>
  <si>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</si>
  <si>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</si>
  <si>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</si>
  <si>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</si>
  <si>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</si>
  <si>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</si>
  <si>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</si>
  <si>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</si>
  <si>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</si>
  <si>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</si>
  <si>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</si>
  <si>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</si>
  <si>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</si>
  <si>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</si>
  <si>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</si>
  <si>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</si>
  <si>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</si>
  <si>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</si>
  <si>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</si>
  <si>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</si>
  <si>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</si>
  <si>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</si>
  <si>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</si>
  <si>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</si>
  <si>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</si>
  <si>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</si>
  <si>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</si>
  <si>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</si>
  <si>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</si>
  <si>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</si>
  <si>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</si>
  <si>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</si>
  <si>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</si>
  <si>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</si>
  <si>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</si>
  <si>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</si>
  <si>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</si>
  <si>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</si>
  <si>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</si>
  <si>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</si>
  <si>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</si>
  <si>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</si>
  <si>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</si>
  <si>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</si>
  <si>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</si>
  <si>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</si>
  <si>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</si>
  <si>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</si>
  <si>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</si>
  <si>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</si>
  <si>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</si>
  <si>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</si>
  <si>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</si>
  <si>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</si>
  <si>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</si>
  <si>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</si>
  <si>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</si>
  <si>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</si>
  <si>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</si>
  <si>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</si>
  <si>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</si>
  <si>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</si>
  <si>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</si>
  <si>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</si>
  <si>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</si>
  <si>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</si>
  <si>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</si>
  <si>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</si>
  <si>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</si>
  <si>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</si>
  <si>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</si>
  <si>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</si>
  <si>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</si>
  <si>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</si>
  <si>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</si>
  <si>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</si>
  <si>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</si>
  <si>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</si>
  <si>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</si>
  <si>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</si>
  <si>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</si>
  <si>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</si>
  <si>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</si>
  <si>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</si>
  <si>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</si>
  <si>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</si>
  <si>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</si>
  <si>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</si>
  <si>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</si>
  <si>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</si>
  <si>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</si>
  <si>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</si>
  <si>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</si>
  <si>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</si>
  <si>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</si>
  <si>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</si>
  <si>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</si>
  <si>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</si>
  <si>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</si>
  <si>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</si>
  <si>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</si>
  <si>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</si>
  <si>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</si>
  <si>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</si>
  <si>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</si>
  <si>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</si>
  <si>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</si>
  <si>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</si>
  <si>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</si>
  <si>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</si>
  <si>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</si>
  <si>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</si>
  <si>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</si>
  <si>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</si>
  <si>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</si>
  <si>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</si>
  <si>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</si>
  <si>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</si>
  <si>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</si>
  <si>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</si>
  <si>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</si>
  <si>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</si>
  <si>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</si>
  <si>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</si>
  <si>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</si>
  <si>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</si>
  <si>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</si>
  <si>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</si>
  <si>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</si>
  <si>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</si>
  <si>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</si>
  <si>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</si>
  <si>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</si>
  <si>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</si>
  <si>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</si>
  <si>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</si>
  <si>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</si>
  <si>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</si>
  <si>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</si>
  <si>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</si>
  <si>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</si>
  <si>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</si>
  <si>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</si>
  <si>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</si>
  <si>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</si>
  <si>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</si>
  <si>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</si>
  <si>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</si>
  <si>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</si>
  <si>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</si>
  <si>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</si>
  <si>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</si>
  <si>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</si>
  <si>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</si>
  <si>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</si>
  <si>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</si>
  <si>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</si>
  <si>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</si>
  <si>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</si>
  <si>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</si>
  <si>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</si>
  <si>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</si>
  <si>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</si>
  <si>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</si>
  <si>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</si>
  <si>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</si>
  <si>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</si>
  <si>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</si>
  <si>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</si>
  <si>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</si>
  <si>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</si>
  <si>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</si>
  <si>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</si>
  <si>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</si>
  <si>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</si>
  <si>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</si>
  <si>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</si>
  <si>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</si>
  <si>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</si>
  <si>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</si>
  <si>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</si>
  <si>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</si>
  <si>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</si>
  <si>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</si>
  <si>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</si>
  <si>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</si>
  <si>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</si>
  <si>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</si>
  <si>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</si>
  <si>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</si>
  <si>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</si>
  <si>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</si>
  <si>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</si>
  <si>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</si>
  <si>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</si>
  <si>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</si>
  <si>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</si>
  <si>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</si>
  <si>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</si>
  <si>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</si>
  <si>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</si>
  <si>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</si>
  <si>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</si>
  <si>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</si>
  <si>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</si>
  <si>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</si>
  <si>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</si>
  <si>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</si>
  <si>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</si>
  <si>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</si>
  <si>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</si>
  <si>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</si>
  <si>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</si>
  <si>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</si>
  <si>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</si>
  <si>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</si>
  <si>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</si>
  <si>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</si>
  <si>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</si>
  <si>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</si>
  <si>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</si>
  <si>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</si>
  <si>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</si>
  <si>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</si>
  <si>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</si>
  <si>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</si>
  <si>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</si>
  <si>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</si>
  <si>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</si>
  <si>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</si>
  <si>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</si>
  <si>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</si>
  <si>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</si>
  <si>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</si>
  <si>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</si>
  <si>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</si>
  <si>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</si>
  <si>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</si>
  <si>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</si>
  <si>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</si>
  <si>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</si>
  <si>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</si>
  <si>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</si>
  <si>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</si>
  <si>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</si>
  <si>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</si>
  <si>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</si>
  <si>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</si>
  <si>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</si>
  <si>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</si>
  <si>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</si>
  <si>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</si>
  <si>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</si>
  <si>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</si>
  <si>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</si>
  <si>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</si>
  <si>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</si>
  <si>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</si>
  <si>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</si>
  <si>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</si>
  <si>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</si>
  <si>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</si>
  <si>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</si>
  <si>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</si>
  <si>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</si>
  <si>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</si>
  <si>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</si>
  <si>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</si>
  <si>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</si>
  <si>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</si>
  <si>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</si>
  <si>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</si>
  <si>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</si>
  <si>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</si>
  <si>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</si>
  <si>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</si>
  <si>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</si>
  <si>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</si>
  <si>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</si>
  <si>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</si>
  <si>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</si>
  <si>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</si>
  <si>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</si>
  <si>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</si>
  <si>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</si>
  <si>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</si>
  <si>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</si>
  <si>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</si>
  <si>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</si>
  <si>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</si>
  <si>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</si>
  <si>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</si>
  <si>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</si>
  <si>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</si>
  <si>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</si>
  <si>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</si>
  <si>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</si>
  <si>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</si>
  <si>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</si>
  <si>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</si>
  <si>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</si>
  <si>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</si>
  <si>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</si>
  <si>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</si>
  <si>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</si>
  <si>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</si>
  <si>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</si>
  <si>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</si>
  <si>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</si>
  <si>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</si>
  <si>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</si>
  <si>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</si>
  <si>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</si>
  <si>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</si>
  <si>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</si>
  <si>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</si>
  <si>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</si>
  <si>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</si>
  <si>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</si>
  <si>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</si>
  <si>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</si>
  <si>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</si>
  <si>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</si>
  <si>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</si>
  <si>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</si>
  <si>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</si>
  <si>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</si>
  <si>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</si>
  <si>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</si>
  <si>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</si>
  <si>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</si>
  <si>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</si>
  <si>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</si>
  <si>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</si>
  <si>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</si>
  <si>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</si>
  <si>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</si>
  <si>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</si>
  <si>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</si>
  <si>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</si>
  <si>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</si>
  <si>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</si>
  <si>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</si>
  <si>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</si>
  <si>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</si>
  <si>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</si>
  <si>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</si>
  <si>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</si>
  <si>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</si>
  <si>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</si>
  <si>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</si>
  <si>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</si>
  <si>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</si>
  <si>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</si>
  <si>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</si>
  <si>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</si>
  <si>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</si>
  <si>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</si>
  <si>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</si>
  <si>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</si>
  <si>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</si>
  <si>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</si>
  <si>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</si>
  <si>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</si>
  <si>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</si>
  <si>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</si>
  <si>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</si>
  <si>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</si>
  <si>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</si>
  <si>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</si>
  <si>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</si>
  <si>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</si>
  <si>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</si>
  <si>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</si>
  <si>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</si>
  <si>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</si>
  <si>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</si>
  <si>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</si>
  <si>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</si>
  <si>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</si>
  <si>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</si>
  <si>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</si>
  <si>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</si>
  <si>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</si>
  <si>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</si>
  <si>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</si>
  <si>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</si>
  <si>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</si>
  <si>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</si>
  <si>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</si>
  <si>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</si>
  <si>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</si>
  <si>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</si>
  <si>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</si>
  <si>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</si>
  <si>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</si>
  <si>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</si>
  <si>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</si>
  <si>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</si>
  <si>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</si>
  <si>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</si>
  <si>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</si>
  <si>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</si>
  <si>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</si>
  <si>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</si>
  <si>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</si>
  <si>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</si>
  <si>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</si>
  <si>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</si>
  <si>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</si>
  <si>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</si>
  <si>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</si>
  <si>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</si>
  <si>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</si>
  <si>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</si>
  <si>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</si>
  <si>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</si>
  <si>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</si>
  <si>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</si>
  <si>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</si>
  <si>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</si>
  <si>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</si>
  <si>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</si>
  <si>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</si>
  <si>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</si>
  <si>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</si>
  <si>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</si>
  <si>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</si>
  <si>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</si>
  <si>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</si>
  <si>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</si>
  <si>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</si>
  <si>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</si>
  <si>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</si>
  <si>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</si>
  <si>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</si>
  <si>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</si>
  <si>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</si>
  <si>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</si>
  <si>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</si>
  <si>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</si>
  <si>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</si>
  <si>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</si>
  <si>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</si>
  <si>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</si>
  <si>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</si>
  <si>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</si>
  <si>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</si>
  <si>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</si>
  <si>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</si>
  <si>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</si>
  <si>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</si>
  <si>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</si>
  <si>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</si>
  <si>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</si>
  <si>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</si>
  <si>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</si>
  <si>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</si>
  <si>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</si>
  <si>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</si>
  <si>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</si>
  <si>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</si>
  <si>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</si>
  <si>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</si>
  <si>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</si>
  <si>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</si>
  <si>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</si>
  <si>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</si>
  <si>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</si>
  <si>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</si>
  <si>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</si>
  <si>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</si>
  <si>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</si>
  <si>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</si>
  <si>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</si>
  <si>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</si>
  <si>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</si>
  <si>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</si>
  <si>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</si>
  <si>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</si>
  <si>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</si>
  <si>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</si>
  <si>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</si>
  <si>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</si>
  <si>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</si>
  <si>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</si>
  <si>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</si>
  <si>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</si>
  <si>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</si>
  <si>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</si>
  <si>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</si>
  <si>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</si>
  <si>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</si>
  <si>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</si>
  <si>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</si>
  <si>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</si>
  <si>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</si>
  <si>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</si>
  <si>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</si>
  <si>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</si>
  <si>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</si>
  <si>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</si>
  <si>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</si>
  <si>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</si>
  <si>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</si>
  <si>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</si>
  <si>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</si>
  <si>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</si>
  <si>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</si>
  <si>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</si>
  <si>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</si>
  <si>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</si>
  <si>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</si>
  <si>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</si>
  <si>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</si>
  <si>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</si>
  <si>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</si>
  <si>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</si>
  <si>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</si>
  <si>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</si>
  <si>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</si>
  <si>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</si>
  <si>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</si>
  <si>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</si>
  <si>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</si>
  <si>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</si>
  <si>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</si>
  <si>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</si>
  <si>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</si>
  <si>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</si>
  <si>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</si>
  <si>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</si>
  <si>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</si>
  <si>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</si>
  <si>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</si>
  <si>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</si>
  <si>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</si>
  <si>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</si>
  <si>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</si>
  <si>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</si>
  <si>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</si>
  <si>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</si>
  <si>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</si>
  <si>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</si>
  <si>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</si>
  <si>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</si>
  <si>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</si>
  <si>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</si>
  <si>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</si>
  <si>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</si>
  <si>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</si>
  <si>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</si>
  <si>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</si>
  <si>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</si>
  <si>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</si>
  <si>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</si>
  <si>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</si>
  <si>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</si>
  <si>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</si>
  <si>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</si>
  <si>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</si>
  <si>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</si>
  <si>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</si>
  <si>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</si>
  <si>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</si>
  <si>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</si>
  <si>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</si>
  <si>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</si>
  <si>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</si>
  <si>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</si>
  <si>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</si>
  <si>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</si>
  <si>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</si>
  <si>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</si>
  <si>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</si>
  <si>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</si>
  <si>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</si>
  <si>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</si>
  <si>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</si>
  <si>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</si>
  <si>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</si>
  <si>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</si>
  <si>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</si>
  <si>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</si>
  <si>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</si>
  <si>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</si>
  <si>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</si>
  <si>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</si>
  <si>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</si>
  <si>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</si>
  <si>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</si>
  <si>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</si>
  <si>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</si>
  <si>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</si>
  <si>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</si>
  <si>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</si>
  <si>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</si>
  <si>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</si>
  <si>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</si>
  <si>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</si>
  <si>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</si>
  <si>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</si>
  <si>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</si>
  <si>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</si>
  <si>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</si>
  <si>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</si>
  <si>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</si>
  <si>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</si>
  <si>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</si>
  <si>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</si>
  <si>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</si>
  <si>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</si>
  <si>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</si>
  <si>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</si>
  <si>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</si>
  <si>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</si>
  <si>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</si>
  <si>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</si>
  <si>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</si>
  <si>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</si>
  <si>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</si>
  <si>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</si>
  <si>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</si>
  <si>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</si>
  <si>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</si>
  <si>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</si>
  <si>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</si>
  <si>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</si>
  <si>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</si>
  <si>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</si>
  <si>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</si>
  <si>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</si>
  <si>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</si>
  <si>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</si>
  <si>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</si>
  <si>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</si>
  <si>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</si>
  <si>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</si>
  <si>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</si>
  <si>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</si>
  <si>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</si>
  <si>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</si>
  <si>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</si>
  <si>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</si>
  <si>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</si>
  <si>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</si>
  <si>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</si>
  <si>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</si>
  <si>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</si>
  <si>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</si>
  <si>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</si>
  <si>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</si>
  <si>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</si>
  <si>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</si>
  <si>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</si>
  <si>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</si>
  <si>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</si>
  <si>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</si>
  <si>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</si>
  <si>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</si>
  <si>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</si>
  <si>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</si>
  <si>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</si>
  <si>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</si>
  <si>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</si>
  <si>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</si>
  <si>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</si>
  <si>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</si>
  <si>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</si>
  <si>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</si>
  <si>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</si>
  <si>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</si>
  <si>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</si>
  <si>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</si>
  <si>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</si>
  <si>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</si>
  <si>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</si>
  <si>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</si>
  <si>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</si>
  <si>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</si>
  <si>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</si>
  <si>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</si>
  <si>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</si>
  <si>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</si>
  <si>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</si>
  <si>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</si>
  <si>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</si>
  <si>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</si>
  <si>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</si>
  <si>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</si>
  <si>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</si>
  <si>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</si>
  <si>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</si>
  <si>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</si>
  <si>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</si>
  <si>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</si>
  <si>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</si>
  <si>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</si>
  <si>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</si>
  <si>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</si>
  <si>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</si>
  <si>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</si>
  <si>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</si>
  <si>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</si>
  <si>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</si>
  <si>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</si>
  <si>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</si>
  <si>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</si>
  <si>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</si>
  <si>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</si>
  <si>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</si>
  <si>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</si>
  <si>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</si>
  <si>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</si>
  <si>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</si>
  <si>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</si>
  <si>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</si>
  <si>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</si>
  <si>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</si>
  <si>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</si>
  <si>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</si>
  <si>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</si>
  <si>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</si>
  <si>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</si>
  <si>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</si>
  <si>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</si>
  <si>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</si>
  <si>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</si>
  <si>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</si>
  <si>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</si>
  <si>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</si>
  <si>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</si>
  <si>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</si>
  <si>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</si>
  <si>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</si>
  <si>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</si>
  <si>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</si>
  <si>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</si>
  <si>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</si>
  <si>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</si>
  <si>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</si>
  <si>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</si>
  <si>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</si>
  <si>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</si>
  <si>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</si>
  <si>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</si>
  <si>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</si>
  <si>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</si>
  <si>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</si>
  <si>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</si>
  <si>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</si>
  <si>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</si>
  <si>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</si>
  <si>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</si>
  <si>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</si>
  <si>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</si>
  <si>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</si>
  <si>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</si>
  <si>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</si>
  <si>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</si>
  <si>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</si>
  <si>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</si>
  <si>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</si>
  <si>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</si>
  <si>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</si>
  <si>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</si>
  <si>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</si>
  <si>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</si>
  <si>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</si>
  <si>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</si>
  <si>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</si>
  <si>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</si>
  <si>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</si>
  <si>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</si>
  <si>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</si>
  <si>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</si>
  <si>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</si>
  <si>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</si>
  <si>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</si>
  <si>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</si>
  <si>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</si>
  <si>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</si>
  <si>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</si>
  <si>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</si>
  <si>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</si>
  <si>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</si>
  <si>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</si>
  <si>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</si>
  <si>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</si>
  <si>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</si>
  <si>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</si>
  <si>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</si>
  <si>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</si>
  <si>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</si>
  <si>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</si>
  <si>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</si>
  <si>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</si>
  <si>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</si>
  <si>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</si>
  <si>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</si>
  <si>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</si>
  <si>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</si>
  <si>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</si>
  <si>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</si>
  <si>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</si>
  <si>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</si>
  <si>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</si>
  <si>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</si>
  <si>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</si>
  <si>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</si>
  <si>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</si>
  <si>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</si>
  <si>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</si>
  <si>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</si>
  <si>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</si>
  <si>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</si>
  <si>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</si>
  <si>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</si>
  <si>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</si>
  <si>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</si>
  <si>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</si>
  <si>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</si>
  <si>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</si>
  <si>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</si>
  <si>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</si>
  <si>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</si>
  <si>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</si>
  <si>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</si>
  <si>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</si>
  <si>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</si>
  <si>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</si>
  <si>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</si>
  <si>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</si>
  <si>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</si>
  <si>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</si>
  <si>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</si>
  <si>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</si>
  <si>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</si>
  <si>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</si>
  <si>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</si>
  <si>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</si>
  <si>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</si>
  <si>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</si>
  <si>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</si>
  <si>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</si>
  <si>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</si>
  <si>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</si>
  <si>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</si>
  <si>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</si>
  <si>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</si>
  <si>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</si>
  <si>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</si>
  <si>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</si>
  <si>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</si>
  <si>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</si>
  <si>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</si>
  <si>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</si>
  <si>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</si>
  <si>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</si>
  <si>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</si>
  <si>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</si>
  <si>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</si>
  <si>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</si>
  <si>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</si>
  <si>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</si>
  <si>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</si>
  <si>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</si>
  <si>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</si>
  <si>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</si>
  <si>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</si>
  <si>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</si>
  <si>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</si>
  <si>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</si>
  <si>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</si>
  <si>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</si>
  <si>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</si>
  <si>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</si>
  <si>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</si>
  <si>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</si>
  <si>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</si>
  <si>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</si>
  <si>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</si>
  <si>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</si>
  <si>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</si>
  <si>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</si>
  <si>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</si>
  <si>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</si>
  <si>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</si>
  <si>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</si>
  <si>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</si>
  <si>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</si>
  <si>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</si>
  <si>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</si>
  <si>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</si>
  <si>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</si>
  <si>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</si>
  <si>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</si>
  <si>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</si>
  <si>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</si>
  <si>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</si>
  <si>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</si>
  <si>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</si>
  <si>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</si>
  <si>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</si>
  <si>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</si>
  <si>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</si>
  <si>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</si>
  <si>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</si>
  <si>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</si>
  <si>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</si>
  <si>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</si>
  <si>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</si>
  <si>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</si>
  <si>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</si>
  <si>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</si>
  <si>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</si>
  <si>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</si>
  <si>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</si>
  <si>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</si>
  <si>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</si>
  <si>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</si>
  <si>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</si>
  <si>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</si>
  <si>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</si>
  <si>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</si>
  <si>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</si>
  <si>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</si>
  <si>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</si>
  <si>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</si>
  <si>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</si>
  <si>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</si>
  <si>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</si>
  <si>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</si>
  <si>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</si>
  <si>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</si>
  <si>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</si>
  <si>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</si>
  <si>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</si>
  <si>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</si>
  <si>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</si>
  <si>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</si>
  <si>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</si>
  <si>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</si>
  <si>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</si>
  <si>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</si>
  <si>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</si>
  <si>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</si>
  <si>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</si>
  <si>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</si>
  <si>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</si>
  <si>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</si>
  <si>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</si>
  <si>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</si>
  <si>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</si>
  <si>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</si>
  <si>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</si>
  <si>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</si>
  <si>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</si>
  <si>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</si>
  <si>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</si>
  <si>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</si>
  <si>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</si>
  <si>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</si>
  <si>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</si>
  <si>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</si>
  <si>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</si>
  <si>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</si>
  <si>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</si>
  <si>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</si>
  <si>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</si>
  <si>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</si>
  <si>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</si>
  <si>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</si>
  <si>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</si>
  <si>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</si>
  <si>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</si>
  <si>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</si>
  <si>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</si>
  <si>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</si>
  <si>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</si>
  <si>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</si>
  <si>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</si>
  <si>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</si>
  <si>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</si>
  <si>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</si>
  <si>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</si>
  <si>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Curtailment Gen Loss (MWh)</t>
  </si>
  <si>
    <t>Operational AC Capacity (MW)</t>
  </si>
  <si>
    <t>Bugt AC Capacity (MW)</t>
  </si>
  <si>
    <t>Sr. No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</si>
  <si>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</si>
  <si>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</si>
  <si>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</si>
  <si>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</si>
  <si>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</si>
  <si>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</si>
  <si>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</si>
  <si>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</si>
  <si>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</si>
  <si>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</si>
  <si>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</si>
  <si>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</si>
  <si>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</si>
  <si>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</si>
  <si>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</si>
  <si>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Category</t>
  </si>
  <si>
    <t>Loss of Capacity in KWp</t>
  </si>
  <si>
    <t>Bugt AC Capacity</t>
  </si>
  <si>
    <t>Contractual Year</t>
  </si>
  <si>
    <t>Lost PoA(kWh/m2)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</si>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</sst>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  <numFmt numFmtId="172" formatCode="[$-409]dd/mmm/yy;@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36">
    <xf numFmtId="0" fontId="0" fillId="0" borderId="0"/>
    <xf numFmtId="9" fontId="1" fillId="0" borderId="0" applyFont="0" applyFill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2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9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7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0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1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3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7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2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1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20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2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19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2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2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43" fontId="1" fillId="0" borderId="0" applyFont="0" applyFill="0" applyBorder="0" applyAlignment="0" applyProtection="0"/>
  </cellStyleXfs>
  <cellXfs count="279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8" fillId="23" borderId="9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8" fillId="23" borderId="11" xfId="0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0" fontId="24" fillId="23" borderId="15" xfId="0" applyFont="1" applyFill="1" applyBorder="1" applyAlignment="1">
      <alignment horizontal="center" vertical="center" wrapText="1"/>
    </xf>
    <xf numFmtId="167" fontId="24" fillId="23" borderId="11" xfId="0" applyNumberFormat="1" applyFont="1" applyFill="1" applyBorder="1" applyAlignment="1">
      <alignment horizontal="center" vertical="center" wrapText="1"/>
    </xf>
    <xf numFmtId="0" fontId="24" fillId="23" borderId="11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0" fillId="3" borderId="17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4" fillId="23" borderId="9" xfId="0" applyFont="1" applyFill="1" applyBorder="1" applyAlignment="1">
      <alignment horizontal="center" vertical="center" wrapText="1"/>
    </xf>
    <xf numFmtId="167" fontId="24" fillId="23" borderId="9" xfId="0" applyNumberFormat="1" applyFont="1" applyFill="1" applyBorder="1" applyAlignment="1">
      <alignment horizontal="center" vertical="center" wrapText="1"/>
    </xf>
    <xf numFmtId="0" fontId="32" fillId="23" borderId="9" xfId="0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/>
    </xf>
    <xf numFmtId="167" fontId="31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67" fontId="24" fillId="23" borderId="12" xfId="0" applyNumberFormat="1" applyFont="1" applyFill="1" applyBorder="1" applyAlignment="1">
      <alignment horizontal="center" vertical="center" wrapText="1"/>
    </xf>
    <xf numFmtId="15" fontId="31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0" fontId="33" fillId="23" borderId="11" xfId="0" applyFont="1" applyFill="1" applyBorder="1" applyAlignment="1">
      <alignment horizontal="center" vertical="center" wrapText="1"/>
    </xf>
    <xf numFmtId="167" fontId="31" fillId="38" borderId="23" xfId="0" applyNumberFormat="1" applyFont="1" applyFill="1" applyBorder="1" applyAlignment="1">
      <alignment horizontal="center"/>
    </xf>
    <xf numFmtId="0" fontId="33" fillId="23" borderId="18" xfId="0" applyFont="1" applyFill="1" applyBorder="1" applyAlignment="1">
      <alignment horizontal="center" vertical="center" wrapText="1"/>
    </xf>
    <xf numFmtId="167" fontId="33" fillId="23" borderId="11" xfId="0" applyNumberFormat="1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7" fillId="36" borderId="24" xfId="0" applyFont="1" applyFill="1" applyBorder="1" applyAlignment="1">
      <alignment horizontal="center" vertical="center" wrapText="1"/>
    </xf>
    <xf numFmtId="0" fontId="27" fillId="36" borderId="25" xfId="0" applyFont="1" applyFill="1" applyBorder="1" applyAlignment="1">
      <alignment horizontal="center" vertical="center" wrapText="1"/>
    </xf>
    <xf numFmtId="0" fontId="27" fillId="36" borderId="26" xfId="0" applyFont="1" applyFill="1" applyBorder="1" applyAlignment="1">
      <alignment horizontal="center" vertical="center" wrapText="1"/>
    </xf>
    <xf numFmtId="1" fontId="28" fillId="3" borderId="11" xfId="27311" applyNumberFormat="1" applyFont="1" applyFill="1" applyBorder="1" applyAlignment="1">
      <alignment horizontal="center" vertical="center"/>
    </xf>
    <xf numFmtId="166" fontId="28" fillId="3" borderId="11" xfId="1" applyNumberFormat="1" applyFont="1" applyFill="1" applyBorder="1" applyAlignment="1">
      <alignment horizontal="center" vertical="center"/>
    </xf>
    <xf numFmtId="1" fontId="28" fillId="3" borderId="39" xfId="27311" applyNumberFormat="1" applyFont="1" applyFill="1" applyBorder="1" applyAlignment="1">
      <alignment horizontal="center" vertical="center"/>
    </xf>
    <xf numFmtId="1" fontId="28" fillId="3" borderId="42" xfId="27311" applyNumberFormat="1" applyFont="1" applyFill="1" applyBorder="1" applyAlignment="1">
      <alignment horizontal="center" vertical="center"/>
    </xf>
    <xf numFmtId="166" fontId="28" fillId="3" borderId="39" xfId="1" applyNumberFormat="1" applyFont="1" applyFill="1" applyBorder="1" applyAlignment="1">
      <alignment horizontal="center" vertical="center"/>
    </xf>
    <xf numFmtId="166" fontId="28" fillId="3" borderId="42" xfId="1" applyNumberFormat="1" applyFont="1" applyFill="1" applyBorder="1" applyAlignment="1">
      <alignment horizontal="center" vertical="center"/>
    </xf>
    <xf numFmtId="0" fontId="0" fillId="38" borderId="9" xfId="0" applyFill="1" applyBorder="1" applyAlignment="1">
      <alignment horizontal="center" vertical="center"/>
    </xf>
    <xf numFmtId="0" fontId="36" fillId="40" borderId="9" xfId="0" applyFont="1" applyFill="1" applyBorder="1" applyAlignment="1">
      <alignment horizontal="center" vertical="center"/>
    </xf>
    <xf numFmtId="1" fontId="0" fillId="0" borderId="44" xfId="0" applyNumberFormat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0" fillId="0" borderId="46" xfId="0" applyNumberFormat="1" applyBorder="1" applyAlignment="1">
      <alignment horizontal="center" vertical="center"/>
    </xf>
    <xf numFmtId="1" fontId="15" fillId="24" borderId="9" xfId="0" applyNumberFormat="1" applyFont="1" applyFill="1" applyBorder="1" applyAlignment="1">
      <alignment horizontal="left" vertical="center" indent="2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34035" applyFont="1"/>
    <xf numFmtId="3" fontId="0" fillId="0" borderId="9" xfId="0" applyNumberFormat="1" applyBorder="1"/>
    <xf numFmtId="2" fontId="0" fillId="0" borderId="9" xfId="0" applyNumberFormat="1" applyBorder="1"/>
    <xf numFmtId="171" fontId="0" fillId="0" borderId="0" xfId="0" applyNumberFormat="1" applyAlignment="1">
      <alignment horizontal="center" vertical="center"/>
    </xf>
    <xf numFmtId="0" fontId="37" fillId="41" borderId="47" xfId="0" applyFont="1" applyFill="1" applyBorder="1" applyAlignment="1">
      <alignment horizontal="center"/>
    </xf>
    <xf numFmtId="17" fontId="37" fillId="41" borderId="47" xfId="0" applyNumberFormat="1" applyFont="1" applyFill="1" applyBorder="1" applyAlignment="1">
      <alignment horizontal="center"/>
    </xf>
    <xf numFmtId="15" fontId="37" fillId="41" borderId="47" xfId="0" applyNumberFormat="1" applyFont="1" applyFill="1" applyBorder="1"/>
    <xf numFmtId="0" fontId="37" fillId="41" borderId="9" xfId="0" applyFont="1" applyFill="1" applyBorder="1" applyAlignment="1">
      <alignment horizontal="center"/>
    </xf>
    <xf numFmtId="15" fontId="37" fillId="41" borderId="9" xfId="0" applyNumberFormat="1" applyFont="1" applyFill="1" applyBorder="1"/>
    <xf numFmtId="17" fontId="37" fillId="41" borderId="9" xfId="0" applyNumberFormat="1" applyFont="1" applyFill="1" applyBorder="1"/>
    <xf numFmtId="167" fontId="35" fillId="38" borderId="19" xfId="0" applyNumberFormat="1" applyFont="1" applyFill="1" applyBorder="1" applyAlignment="1">
      <alignment horizontal="center"/>
    </xf>
    <xf numFmtId="167" fontId="24" fillId="0" borderId="48" xfId="0" applyNumberFormat="1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9" fontId="11" fillId="0" borderId="48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38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0" fontId="39" fillId="0" borderId="0" xfId="1" applyNumberFormat="1" applyFont="1" applyFill="1" applyAlignment="1">
      <alignment horizontal="center" vertical="center"/>
    </xf>
    <xf numFmtId="0" fontId="11" fillId="0" borderId="49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50" xfId="34035" applyNumberFormat="1" applyFont="1" applyFill="1" applyBorder="1" applyAlignment="1">
      <alignment horizontal="center" vertical="center"/>
    </xf>
    <xf numFmtId="1" fontId="0" fillId="0" borderId="51" xfId="34035" applyNumberFormat="1" applyFont="1" applyFill="1" applyBorder="1" applyAlignment="1">
      <alignment horizontal="center" vertical="center"/>
    </xf>
    <xf numFmtId="17" fontId="0" fillId="0" borderId="50" xfId="34035" applyNumberFormat="1" applyFont="1" applyFill="1" applyBorder="1" applyAlignment="1">
      <alignment horizontal="center" vertical="center"/>
    </xf>
    <xf numFmtId="0" fontId="0" fillId="0" borderId="50" xfId="34035" applyNumberFormat="1" applyFont="1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65" fontId="0" fillId="0" borderId="50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0" fontId="0" fillId="0" borderId="50" xfId="1" applyNumberFormat="1" applyFont="1" applyFill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0" fontId="0" fillId="0" borderId="51" xfId="34035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0" fontId="0" fillId="0" borderId="51" xfId="1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 wrapText="1"/>
    </xf>
    <xf numFmtId="10" fontId="39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8" fillId="3" borderId="39" xfId="1" applyNumberFormat="1" applyFont="1" applyFill="1" applyBorder="1" applyAlignment="1">
      <alignment horizontal="center" vertical="center"/>
    </xf>
    <xf numFmtId="2" fontId="28" fillId="3" borderId="11" xfId="1" applyNumberFormat="1" applyFont="1" applyFill="1" applyBorder="1" applyAlignment="1">
      <alignment horizontal="center" vertical="center"/>
    </xf>
    <xf numFmtId="2" fontId="28" fillId="3" borderId="42" xfId="1" applyNumberFormat="1" applyFont="1" applyFill="1" applyBorder="1" applyAlignment="1">
      <alignment horizontal="center" vertical="center"/>
    </xf>
    <xf numFmtId="10" fontId="11" fillId="0" borderId="51" xfId="1" applyNumberFormat="1" applyFont="1" applyFill="1" applyBorder="1" applyAlignment="1">
      <alignment horizontal="center" vertical="center"/>
    </xf>
    <xf numFmtId="10" fontId="11" fillId="0" borderId="49" xfId="1" applyNumberFormat="1" applyFont="1" applyFill="1" applyBorder="1" applyAlignment="1">
      <alignment horizontal="center" vertical="center"/>
    </xf>
    <xf numFmtId="10" fontId="11" fillId="0" borderId="50" xfId="1" applyNumberFormat="1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wrapText="1"/>
    </xf>
    <xf numFmtId="0" fontId="11" fillId="0" borderId="4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3" borderId="0" xfId="0" applyFill="1" applyAlignment="1">
      <alignment vertical="center"/>
    </xf>
    <xf numFmtId="0" fontId="27" fillId="36" borderId="27" xfId="0" applyFont="1" applyFill="1" applyBorder="1" applyAlignment="1">
      <alignment vertical="center"/>
    </xf>
    <xf numFmtId="0" fontId="27" fillId="36" borderId="33" xfId="0" applyFont="1" applyFill="1" applyBorder="1" applyAlignment="1">
      <alignment vertical="center"/>
    </xf>
    <xf numFmtId="0" fontId="29" fillId="3" borderId="17" xfId="0" applyFont="1" applyFill="1" applyBorder="1" applyAlignment="1">
      <alignment vertical="center"/>
    </xf>
    <xf numFmtId="0" fontId="29" fillId="3" borderId="39" xfId="0" applyFont="1" applyFill="1" applyBorder="1" applyAlignment="1">
      <alignment vertical="center"/>
    </xf>
    <xf numFmtId="3" fontId="29" fillId="3" borderId="39" xfId="0" applyNumberFormat="1" applyFont="1" applyFill="1" applyBorder="1" applyAlignment="1">
      <alignment horizontal="center" vertical="center"/>
    </xf>
    <xf numFmtId="10" fontId="29" fillId="3" borderId="39" xfId="25094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/>
      <protection locked="0"/>
    </xf>
    <xf numFmtId="0" fontId="29" fillId="3" borderId="11" xfId="0" applyFont="1" applyFill="1" applyBorder="1" applyAlignment="1">
      <alignment vertical="center"/>
    </xf>
    <xf numFmtId="1" fontId="29" fillId="3" borderId="11" xfId="0" applyNumberFormat="1" applyFont="1" applyFill="1" applyBorder="1" applyAlignment="1">
      <alignment horizontal="center" vertical="center"/>
    </xf>
    <xf numFmtId="10" fontId="29" fillId="3" borderId="11" xfId="25094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/>
      <protection locked="0"/>
    </xf>
    <xf numFmtId="0" fontId="29" fillId="3" borderId="42" xfId="0" applyFont="1" applyFill="1" applyBorder="1" applyAlignment="1">
      <alignment vertical="center"/>
    </xf>
    <xf numFmtId="1" fontId="29" fillId="3" borderId="42" xfId="0" applyNumberFormat="1" applyFont="1" applyFill="1" applyBorder="1" applyAlignment="1">
      <alignment horizontal="center" vertical="center"/>
    </xf>
    <xf numFmtId="10" fontId="29" fillId="3" borderId="42" xfId="25094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/>
      <protection locked="0"/>
    </xf>
    <xf numFmtId="166" fontId="29" fillId="3" borderId="39" xfId="1" applyNumberFormat="1" applyFont="1" applyFill="1" applyBorder="1" applyAlignment="1">
      <alignment horizontal="center" vertical="center"/>
    </xf>
    <xf numFmtId="1" fontId="29" fillId="3" borderId="40" xfId="0" applyNumberFormat="1" applyFont="1" applyFill="1" applyBorder="1" applyAlignment="1" applyProtection="1">
      <alignment vertical="center"/>
      <protection locked="0"/>
    </xf>
    <xf numFmtId="166" fontId="29" fillId="3" borderId="11" xfId="1" applyNumberFormat="1" applyFont="1" applyFill="1" applyBorder="1" applyAlignment="1">
      <alignment horizontal="center" vertical="center"/>
    </xf>
    <xf numFmtId="166" fontId="29" fillId="3" borderId="42" xfId="1" applyNumberFormat="1" applyFont="1" applyFill="1" applyBorder="1" applyAlignment="1">
      <alignment horizontal="center" vertical="center"/>
    </xf>
    <xf numFmtId="2" fontId="29" fillId="3" borderId="39" xfId="0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 wrapText="1"/>
      <protection locked="0"/>
    </xf>
    <xf numFmtId="2" fontId="29" fillId="3" borderId="11" xfId="0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 wrapText="1"/>
      <protection locked="0"/>
    </xf>
    <xf numFmtId="2" fontId="29" fillId="3" borderId="42" xfId="0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 wrapText="1"/>
      <protection locked="0"/>
    </xf>
    <xf numFmtId="9" fontId="0" fillId="0" borderId="0" xfId="1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34" fillId="38" borderId="22" xfId="0" applyFont="1" applyFill="1" applyBorder="1" applyAlignment="1">
      <alignment horizontal="center" vertical="center"/>
    </xf>
    <xf numFmtId="0" fontId="0" fillId="38" borderId="53" xfId="0" applyFill="1" applyBorder="1" applyAlignment="1">
      <alignment horizontal="center"/>
    </xf>
    <xf numFmtId="0" fontId="24" fillId="0" borderId="59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10" fontId="0" fillId="0" borderId="57" xfId="1" applyNumberFormat="1" applyFont="1" applyFill="1" applyBorder="1" applyAlignment="1">
      <alignment horizontal="center" vertical="center"/>
    </xf>
    <xf numFmtId="17" fontId="0" fillId="0" borderId="55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1" fontId="0" fillId="0" borderId="56" xfId="0" applyNumberFormat="1" applyBorder="1" applyAlignment="1">
      <alignment horizontal="center" vertical="center"/>
    </xf>
    <xf numFmtId="10" fontId="0" fillId="0" borderId="58" xfId="1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4" fillId="0" borderId="16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53" xfId="0" applyBorder="1" applyAlignment="1">
      <alignment horizontal="left"/>
    </xf>
    <xf numFmtId="172" fontId="0" fillId="0" borderId="9" xfId="0" applyNumberFormat="1" applyBorder="1" applyAlignment="1">
      <alignment horizontal="left"/>
    </xf>
    <xf numFmtId="168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43" fontId="0" fillId="0" borderId="9" xfId="34035" applyFont="1" applyFill="1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0" fontId="0" fillId="0" borderId="61" xfId="0" applyBorder="1" applyAlignment="1">
      <alignment horizontal="left"/>
    </xf>
    <xf numFmtId="17" fontId="0" fillId="0" borderId="64" xfId="0" applyNumberFormat="1" applyBorder="1" applyAlignment="1">
      <alignment horizontal="center" vertical="center"/>
    </xf>
    <xf numFmtId="172" fontId="0" fillId="0" borderId="64" xfId="0" applyNumberFormat="1" applyBorder="1" applyAlignment="1">
      <alignment horizontal="left"/>
    </xf>
    <xf numFmtId="0" fontId="0" fillId="0" borderId="64" xfId="0" applyBorder="1" applyAlignment="1">
      <alignment horizontal="left"/>
    </xf>
    <xf numFmtId="168" fontId="0" fillId="0" borderId="64" xfId="0" applyNumberFormat="1" applyBorder="1" applyAlignment="1">
      <alignment horizontal="left"/>
    </xf>
    <xf numFmtId="2" fontId="0" fillId="0" borderId="64" xfId="0" applyNumberFormat="1" applyBorder="1" applyAlignment="1">
      <alignment horizontal="left"/>
    </xf>
    <xf numFmtId="43" fontId="0" fillId="0" borderId="64" xfId="34035" applyFont="1" applyFill="1" applyBorder="1" applyAlignment="1">
      <alignment horizontal="left"/>
    </xf>
    <xf numFmtId="10" fontId="0" fillId="0" borderId="9" xfId="1" applyNumberFormat="1" applyFont="1" applyFill="1" applyBorder="1" applyAlignment="1">
      <alignment horizontal="left"/>
    </xf>
    <xf numFmtId="10" fontId="0" fillId="0" borderId="64" xfId="1" applyNumberFormat="1" applyFont="1" applyFill="1" applyBorder="1" applyAlignment="1">
      <alignment horizontal="left"/>
    </xf>
    <xf numFmtId="167" fontId="35" fillId="40" borderId="9" xfId="0" applyNumberFormat="1" applyFont="1" applyFill="1" applyBorder="1" applyAlignment="1">
      <alignment vertical="center"/>
    </xf>
    <xf numFmtId="167" fontId="35" fillId="40" borderId="64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/>
    </xf>
    <xf numFmtId="17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18" fillId="23" borderId="16" xfId="0" applyFont="1" applyFill="1" applyBorder="1" applyAlignment="1">
      <alignment horizontal="center" vertical="center" wrapText="1"/>
    </xf>
    <xf numFmtId="0" fontId="18" fillId="23" borderId="12" xfId="0" applyFont="1" applyFill="1" applyBorder="1" applyAlignment="1">
      <alignment horizontal="center" vertical="center" wrapText="1"/>
    </xf>
    <xf numFmtId="0" fontId="18" fillId="23" borderId="63" xfId="0" applyFont="1" applyFill="1" applyBorder="1" applyAlignment="1">
      <alignment horizontal="center" vertical="center" wrapText="1"/>
    </xf>
    <xf numFmtId="1" fontId="0" fillId="38" borderId="9" xfId="0" applyNumberFormat="1" applyFill="1" applyBorder="1" applyAlignment="1">
      <alignment horizontal="center" vertical="center"/>
    </xf>
    <xf numFmtId="17" fontId="0" fillId="0" borderId="9" xfId="0" applyNumberFormat="1" applyBorder="1" applyAlignment="1">
      <alignment horizontal="center"/>
    </xf>
    <xf numFmtId="168" fontId="0" fillId="0" borderId="9" xfId="0" applyNumberFormat="1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left"/>
    </xf>
    <xf numFmtId="10" fontId="0" fillId="0" borderId="9" xfId="0" applyNumberFormat="1" applyBorder="1" applyAlignment="1">
      <alignment horizontal="center" vertical="center"/>
    </xf>
    <xf numFmtId="0" fontId="34" fillId="40" borderId="9" xfId="0" applyFont="1" applyFill="1" applyBorder="1" applyAlignment="1">
      <alignment horizontal="center"/>
    </xf>
    <xf numFmtId="0" fontId="34" fillId="40" borderId="9" xfId="0" applyFont="1" applyFill="1" applyBorder="1" applyAlignment="1">
      <alignment horizontal="left" vertical="center"/>
    </xf>
    <xf numFmtId="20" fontId="34" fillId="40" borderId="9" xfId="0" applyNumberFormat="1" applyFont="1" applyFill="1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164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20" fontId="34" fillId="40" borderId="9" xfId="0" applyNumberFormat="1" applyFont="1" applyFill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34" fillId="40" borderId="9" xfId="0" applyFont="1" applyFill="1" applyBorder="1" applyAlignment="1">
      <alignment horizontal="center" vertical="center"/>
    </xf>
    <xf numFmtId="0" fontId="34" fillId="40" borderId="9" xfId="0" applyFont="1" applyFill="1" applyBorder="1" applyAlignment="1">
      <alignment horizontal="center" vertical="center" wrapText="1"/>
    </xf>
    <xf numFmtId="0" fontId="34" fillId="40" borderId="9" xfId="0" applyFont="1" applyFill="1" applyBorder="1" applyAlignment="1">
      <alignment horizontal="left" vertical="center" wrapText="1"/>
    </xf>
    <xf numFmtId="0" fontId="0" fillId="0" borderId="9" xfId="0" applyBorder="1" applyAlignment="1">
      <alignment horizontal="center" vertical="center"/>
    </xf>
    <xf numFmtId="0" fontId="0" fillId="38" borderId="61" xfId="0" applyFill="1" applyBorder="1" applyAlignment="1">
      <alignment horizontal="center"/>
    </xf>
    <xf numFmtId="168" fontId="0" fillId="0" borderId="64" xfId="0" applyNumberFormat="1" applyBorder="1" applyAlignment="1">
      <alignment vertical="center"/>
    </xf>
    <xf numFmtId="165" fontId="0" fillId="0" borderId="64" xfId="0" applyNumberFormat="1" applyBorder="1" applyAlignment="1">
      <alignment horizontal="center" vertical="center"/>
    </xf>
    <xf numFmtId="1" fontId="0" fillId="0" borderId="64" xfId="0" applyNumberFormat="1" applyBorder="1" applyAlignment="1">
      <alignment horizontal="center"/>
    </xf>
    <xf numFmtId="10" fontId="0" fillId="0" borderId="64" xfId="0" applyNumberFormat="1" applyBorder="1" applyAlignment="1">
      <alignment horizontal="center" vertical="center"/>
    </xf>
    <xf numFmtId="0" fontId="34" fillId="40" borderId="64" xfId="0" applyFont="1" applyFill="1" applyBorder="1" applyAlignment="1">
      <alignment horizontal="center"/>
    </xf>
    <xf numFmtId="0" fontId="34" fillId="40" borderId="64" xfId="0" applyFont="1" applyFill="1" applyBorder="1" applyAlignment="1">
      <alignment horizontal="left" vertical="center"/>
    </xf>
    <xf numFmtId="20" fontId="34" fillId="40" borderId="64" xfId="0" applyNumberFormat="1" applyFont="1" applyFill="1" applyBorder="1" applyAlignment="1">
      <alignment horizontal="center"/>
    </xf>
    <xf numFmtId="2" fontId="0" fillId="0" borderId="64" xfId="0" applyNumberFormat="1" applyBorder="1" applyAlignment="1">
      <alignment horizontal="center" vertical="center"/>
    </xf>
    <xf numFmtId="2" fontId="0" fillId="0" borderId="64" xfId="0" applyNumberFormat="1" applyBorder="1" applyAlignment="1">
      <alignment horizontal="center"/>
    </xf>
    <xf numFmtId="0" fontId="0" fillId="0" borderId="64" xfId="0" applyBorder="1" applyAlignment="1">
      <alignment horizontal="left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10" fontId="1" fillId="0" borderId="9" xfId="1" applyNumberFormat="1" applyBorder="1" applyAlignment="1">
      <alignment horizontal="center"/>
    </xf>
    <xf numFmtId="0" fontId="0" fillId="0" borderId="65" xfId="0" applyBorder="1" applyAlignment="1">
      <alignment horizontal="center" vertical="center"/>
    </xf>
    <xf numFmtId="17" fontId="0" fillId="0" borderId="66" xfId="0" applyNumberForma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38" borderId="9" xfId="0" applyNumberFormat="1" applyFill="1" applyBorder="1" applyAlignment="1">
      <alignment vertical="center"/>
    </xf>
    <xf numFmtId="1" fontId="0" fillId="38" borderId="9" xfId="0" applyNumberFormat="1" applyFill="1" applyBorder="1" applyAlignment="1">
      <alignment vertical="center"/>
    </xf>
    <xf numFmtId="0" fontId="29" fillId="3" borderId="38" xfId="0" applyFont="1" applyFill="1" applyBorder="1" applyAlignment="1">
      <alignment horizontal="center" vertical="center"/>
    </xf>
    <xf numFmtId="0" fontId="29" fillId="3" borderId="36" xfId="0" applyFont="1" applyFill="1" applyBorder="1" applyAlignment="1">
      <alignment horizontal="center" vertical="center"/>
    </xf>
    <xf numFmtId="0" fontId="29" fillId="3" borderId="41" xfId="0" applyFont="1" applyFill="1" applyBorder="1" applyAlignment="1">
      <alignment horizontal="center" vertical="center"/>
    </xf>
    <xf numFmtId="167" fontId="28" fillId="3" borderId="34" xfId="27311" applyNumberFormat="1" applyFont="1" applyFill="1" applyBorder="1" applyAlignment="1">
      <alignment horizontal="left" vertical="center"/>
    </xf>
    <xf numFmtId="167" fontId="28" fillId="3" borderId="35" xfId="27311" applyNumberFormat="1" applyFont="1" applyFill="1" applyBorder="1" applyAlignment="1">
      <alignment horizontal="left" vertical="center"/>
    </xf>
    <xf numFmtId="0" fontId="26" fillId="36" borderId="24" xfId="0" applyFont="1" applyFill="1" applyBorder="1" applyAlignment="1">
      <alignment horizontal="center" vertical="center"/>
    </xf>
    <xf numFmtId="0" fontId="26" fillId="36" borderId="25" xfId="0" applyFont="1" applyFill="1" applyBorder="1" applyAlignment="1">
      <alignment horizontal="center" vertical="center"/>
    </xf>
    <xf numFmtId="0" fontId="26" fillId="36" borderId="26" xfId="0" applyFont="1" applyFill="1" applyBorder="1" applyAlignment="1">
      <alignment horizontal="center" vertical="center"/>
    </xf>
    <xf numFmtId="170" fontId="28" fillId="3" borderId="30" xfId="27311" applyNumberFormat="1" applyFont="1" applyFill="1" applyBorder="1" applyAlignment="1" applyProtection="1">
      <alignment horizontal="left" vertical="center"/>
      <protection locked="0"/>
    </xf>
    <xf numFmtId="170" fontId="28" fillId="3" borderId="31" xfId="27311" applyNumberFormat="1" applyFont="1" applyFill="1" applyBorder="1" applyAlignment="1" applyProtection="1">
      <alignment horizontal="left" vertical="center"/>
      <protection locked="0"/>
    </xf>
    <xf numFmtId="170" fontId="28" fillId="3" borderId="32" xfId="27311" applyNumberFormat="1" applyFont="1" applyFill="1" applyBorder="1" applyAlignment="1" applyProtection="1">
      <alignment horizontal="left" vertical="center"/>
      <protection locked="0"/>
    </xf>
    <xf numFmtId="167" fontId="28" fillId="3" borderId="28" xfId="27311" applyNumberFormat="1" applyFont="1" applyFill="1" applyBorder="1" applyAlignment="1" applyProtection="1">
      <alignment horizontal="left" vertical="center"/>
      <protection locked="0"/>
    </xf>
    <xf numFmtId="167" fontId="28" fillId="3" borderId="29" xfId="27311" applyNumberFormat="1" applyFont="1" applyFill="1" applyBorder="1" applyAlignment="1" applyProtection="1">
      <alignment horizontal="left" vertical="center"/>
      <protection locked="0"/>
    </xf>
    <xf numFmtId="1" fontId="29" fillId="3" borderId="28" xfId="0" applyNumberFormat="1" applyFont="1" applyFill="1" applyBorder="1" applyAlignment="1">
      <alignment horizontal="left" vertical="center"/>
    </xf>
    <xf numFmtId="1" fontId="29" fillId="3" borderId="29" xfId="0" applyNumberFormat="1" applyFont="1" applyFill="1" applyBorder="1" applyAlignment="1">
      <alignment horizontal="left" vertical="center"/>
    </xf>
    <xf numFmtId="167" fontId="28" fillId="3" borderId="30" xfId="27311" applyNumberFormat="1" applyFont="1" applyFill="1" applyBorder="1" applyAlignment="1">
      <alignment horizontal="left" vertical="center"/>
    </xf>
    <xf numFmtId="167" fontId="28" fillId="3" borderId="31" xfId="27311" applyNumberFormat="1" applyFont="1" applyFill="1" applyBorder="1" applyAlignment="1">
      <alignment horizontal="left" vertical="center"/>
    </xf>
    <xf numFmtId="167" fontId="28" fillId="3" borderId="32" xfId="27311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  <xf numFmtId="0" fontId="41" fillId="41" borderId="47" xfId="0" applyFont="1" applyFill="1" applyBorder="1" applyAlignment="1">
      <alignment horizontal="center"/>
    </xf>
    <xf numFmtId="17" fontId="41" fillId="41" borderId="47" xfId="0" applyNumberFormat="1" applyFont="1" applyFill="1" applyBorder="1" applyAlignment="1">
      <alignment horizontal="center"/>
    </xf>
    <xf numFmtId="15" fontId="41" fillId="41" borderId="47" xfId="0" applyNumberFormat="1" applyFont="1" applyFill="1" applyBorder="1"/>
    <xf numFmtId="0" fontId="41" fillId="41" borderId="9" xfId="0" applyFont="1" applyFill="1" applyBorder="1" applyAlignment="1">
      <alignment horizontal="center"/>
    </xf>
    <xf numFmtId="17" fontId="41" fillId="41" borderId="9" xfId="0" applyNumberFormat="1" applyFont="1" applyFill="1" applyBorder="1"/>
    <xf numFmtId="15" fontId="41" fillId="41" borderId="9" xfId="0" applyNumberFormat="1" applyFont="1" applyFill="1" applyBorder="1"/>
    <xf numFmtId="0" fontId="41" fillId="41" borderId="64" xfId="0" applyFont="1" applyFill="1" applyBorder="1" applyAlignment="1">
      <alignment horizontal="center"/>
    </xf>
    <xf numFmtId="17" fontId="41" fillId="41" borderId="64" xfId="0" applyNumberFormat="1" applyFont="1" applyFill="1" applyBorder="1"/>
    <xf numFmtId="15" fontId="41" fillId="41" borderId="64" xfId="0" applyNumberFormat="1" applyFont="1" applyFill="1" applyBorder="1"/>
  </cellXfs>
  <cellStyles count="34036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4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6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4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4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7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4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5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8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6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8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3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0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4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3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4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8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1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3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6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3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2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2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89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89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5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0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6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8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09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0" xr:uid="{00000000-0005-0000-0000-0000E50F0000}"/>
    <cellStyle name="20% - Accent2 7 5 2" xfId="33975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1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4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0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0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1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0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6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4" xr:uid="{00000000-0005-0000-0000-00004F110000}"/>
    <cellStyle name="20% - Accent3 2 2 3 3 2" xfId="33767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29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39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7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09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0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79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8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0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59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5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8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6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6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7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4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0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8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4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4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0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0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2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3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6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6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69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3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2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5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7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8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3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0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2" xr:uid="{00000000-0005-0000-0000-000048190000}"/>
    <cellStyle name="20% - Accent4 2 2 3 2 5 2" xfId="33662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09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09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6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2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7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7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5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7" xr:uid="{00000000-0005-0000-0000-00009C1A0000}"/>
    <cellStyle name="20% - Accent4 2 3 3 2 2 4 2" xfId="33972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2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6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6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3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2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59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0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4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6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79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2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0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29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1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7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19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6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3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2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1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3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49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6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5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4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4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69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6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1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7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1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3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1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0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1" xr:uid="{00000000-0005-0000-0000-0000461E0000}"/>
    <cellStyle name="20% - Accent4 4 2 2 6" xfId="6599" xr:uid="{00000000-0005-0000-0000-0000471E0000}"/>
    <cellStyle name="20% - Accent4 4 2 2 6 2" xfId="33102" xr:uid="{00000000-0005-0000-0000-0000481E0000}"/>
    <cellStyle name="20% - Accent4 4 2 2 7" xfId="33603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1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8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2" xr:uid="{00000000-0005-0000-0000-00007E1E0000}"/>
    <cellStyle name="20% - Accent4 4 2 5 3" xfId="9619" xr:uid="{00000000-0005-0000-0000-00007F1E0000}"/>
    <cellStyle name="20% - Accent4 4 2 5 3 2" xfId="32635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4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8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2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8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6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2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3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4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39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5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6" xr:uid="{00000000-0005-0000-0000-0000F81F0000}"/>
    <cellStyle name="20% - Accent4 9 2" xfId="32119" xr:uid="{00000000-0005-0000-0000-0000F91F0000}"/>
    <cellStyle name="20% - Accent4 9 2 2" xfId="9662" xr:uid="{00000000-0005-0000-0000-0000FA1F0000}"/>
    <cellStyle name="20% - Accent4 9 2 2 2" xfId="32285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0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4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4" xr:uid="{00000000-0005-0000-0000-000057200000}"/>
    <cellStyle name="20% - Accent5 2 2 2 2 3 2 2 3 2" xfId="32777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8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1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1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79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6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1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4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5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2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1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6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0" xr:uid="{00000000-0005-0000-0000-0000D4210000}"/>
    <cellStyle name="20% - Accent5 2 2 5 2 2 3" xfId="31750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6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0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5" xr:uid="{00000000-0005-0000-0000-0000E1210000}"/>
    <cellStyle name="20% - Accent5 2 2 5 3 2 2 2" xfId="32018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6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0" xr:uid="{00000000-0005-0000-0000-0000F3210000}"/>
    <cellStyle name="20% - Accent5 2 2 6 2 3" xfId="30838" xr:uid="{00000000-0005-0000-0000-0000F4210000}"/>
    <cellStyle name="20% - Accent5 2 2 6 2 3 2" xfId="31736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7" xr:uid="{00000000-0005-0000-0000-0000F8210000}"/>
    <cellStyle name="20% - Accent5 2 2 6 3 2 2" xfId="27539" xr:uid="{00000000-0005-0000-0000-0000F9210000}"/>
    <cellStyle name="20% - Accent5 2 2 6 3 3" xfId="31752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1" xr:uid="{00000000-0005-0000-0000-0000FF210000}"/>
    <cellStyle name="20% - Accent5 2 2 7 2 2" xfId="11445" xr:uid="{00000000-0005-0000-0000-000000220000}"/>
    <cellStyle name="20% - Accent5 2 2 7 2 2 2" xfId="33879" xr:uid="{00000000-0005-0000-0000-000001220000}"/>
    <cellStyle name="20% - Accent5 2 2 7 2 3" xfId="31849" xr:uid="{00000000-0005-0000-0000-000002220000}"/>
    <cellStyle name="20% - Accent5 2 2 7 3" xfId="33869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3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8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4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2" xr:uid="{00000000-0005-0000-0000-0000F1220000}"/>
    <cellStyle name="20% - Accent5 2 3 5 2 2 3" xfId="31680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1" xr:uid="{00000000-0005-0000-0000-0000FE220000}"/>
    <cellStyle name="20% - Accent5 2 3 6 2 2" xfId="599" xr:uid="{00000000-0005-0000-0000-0000FF220000}"/>
    <cellStyle name="20% - Accent5 2 3 6 2 2 2" xfId="31714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8" xr:uid="{00000000-0005-0000-0000-000006230000}"/>
    <cellStyle name="20% - Accent5 2 3 7 2 2" xfId="33931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2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4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3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8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89" xr:uid="{00000000-0005-0000-0000-000080230000}"/>
    <cellStyle name="20% - Accent5 2 4 5 2 3" xfId="32338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0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8" xr:uid="{00000000-0005-0000-0000-00008F230000}"/>
    <cellStyle name="20% - Accent5 2 5 2 2 2 2" xfId="32292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8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4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6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8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3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7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59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8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1" xr:uid="{00000000-0005-0000-0000-0000F1240000}"/>
    <cellStyle name="20% - Accent5 3 2 5 2 3 2" xfId="32939" xr:uid="{00000000-0005-0000-0000-0000F2240000}"/>
    <cellStyle name="20% - Accent5 3 2 5 2 4" xfId="12033" xr:uid="{00000000-0005-0000-0000-0000F3240000}"/>
    <cellStyle name="20% - Accent5 3 2 5 3" xfId="33997" xr:uid="{00000000-0005-0000-0000-0000F4240000}"/>
    <cellStyle name="20% - Accent5 3 2 5 3 2" xfId="33228" xr:uid="{00000000-0005-0000-0000-0000F5240000}"/>
    <cellStyle name="20% - Accent5 3 2 5 3 2 2" xfId="33775" xr:uid="{00000000-0005-0000-0000-0000F6240000}"/>
    <cellStyle name="20% - Accent5 3 2 5 3 3" xfId="32096" xr:uid="{00000000-0005-0000-0000-0000F7240000}"/>
    <cellStyle name="20% - Accent5 3 2 5 4" xfId="27406" xr:uid="{00000000-0005-0000-0000-0000F8240000}"/>
    <cellStyle name="20% - Accent5 3 2 5 4 2" xfId="33783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7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8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5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3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1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7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4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5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2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3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4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4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5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2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3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4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2" xr:uid="{00000000-0005-0000-0000-000026270000}"/>
    <cellStyle name="20% - Accent5 5 2 2 5" xfId="33197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0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1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0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8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2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7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3" xr:uid="{00000000-0005-0000-0000-00000A280000}"/>
    <cellStyle name="20% - Accent6 2 11" xfId="31717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2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29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0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2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5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5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3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2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89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6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4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1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2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1" xr:uid="{00000000-0005-0000-0000-0000CF290000}"/>
    <cellStyle name="20% - Accent6 2 2 5 2 2" xfId="6150" xr:uid="{00000000-0005-0000-0000-0000D0290000}"/>
    <cellStyle name="20% - Accent6 2 2 5 2 2 2" xfId="33159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6" xr:uid="{00000000-0005-0000-0000-0000D5290000}"/>
    <cellStyle name="20% - Accent6 2 2 5 2 2 3 2" xfId="4307" xr:uid="{00000000-0005-0000-0000-0000D6290000}"/>
    <cellStyle name="20% - Accent6 2 2 5 2 2 4" xfId="32066" xr:uid="{00000000-0005-0000-0000-0000D7290000}"/>
    <cellStyle name="20% - Accent6 2 2 5 2 3" xfId="3923" xr:uid="{00000000-0005-0000-0000-0000D8290000}"/>
    <cellStyle name="20% - Accent6 2 2 5 2 3 2" xfId="33516" xr:uid="{00000000-0005-0000-0000-0000D9290000}"/>
    <cellStyle name="20% - Accent6 2 2 5 2 3 2 2" xfId="4336" xr:uid="{00000000-0005-0000-0000-0000DA290000}"/>
    <cellStyle name="20% - Accent6 2 2 5 2 3 3" xfId="32661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3" xr:uid="{00000000-0005-0000-0000-0000E0290000}"/>
    <cellStyle name="20% - Accent6 2 2 5 3 2 2" xfId="33693" xr:uid="{00000000-0005-0000-0000-0000E1290000}"/>
    <cellStyle name="20% - Accent6 2 2 5 3 2 2 2" xfId="5667" xr:uid="{00000000-0005-0000-0000-0000E2290000}"/>
    <cellStyle name="20% - Accent6 2 2 5 3 2 3" xfId="32857" xr:uid="{00000000-0005-0000-0000-0000E3290000}"/>
    <cellStyle name="20% - Accent6 2 2 5 3 3" xfId="32799" xr:uid="{00000000-0005-0000-0000-0000E4290000}"/>
    <cellStyle name="20% - Accent6 2 2 5 3 3 2" xfId="32064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6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4" xr:uid="{00000000-0005-0000-0000-0000F0290000}"/>
    <cellStyle name="20% - Accent6 2 2 6 2 2 2" xfId="33360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6" xr:uid="{00000000-0005-0000-0000-0000F8290000}"/>
    <cellStyle name="20% - Accent6 2 2 6 3 2 2" xfId="32074" xr:uid="{00000000-0005-0000-0000-0000F9290000}"/>
    <cellStyle name="20% - Accent6 2 2 6 3 3" xfId="32879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3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7" xr:uid="{00000000-0005-0000-0000-0000012A0000}"/>
    <cellStyle name="20% - Accent6 2 2 7 2 3" xfId="32889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2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6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1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3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3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49" xr:uid="{00000000-0005-0000-0000-0000ED2A0000}"/>
    <cellStyle name="20% - Accent6 2 3 5 2" xfId="31060" xr:uid="{00000000-0005-0000-0000-0000EE2A0000}"/>
    <cellStyle name="20% - Accent6 2 3 5 2 2" xfId="33465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2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5" xr:uid="{00000000-0005-0000-0000-0000FE2A0000}"/>
    <cellStyle name="20% - Accent6 2 3 6 2 2" xfId="33358" xr:uid="{00000000-0005-0000-0000-0000FF2A0000}"/>
    <cellStyle name="20% - Accent6 2 3 6 2 2 2" xfId="32949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6" xr:uid="{00000000-0005-0000-0000-0000072B0000}"/>
    <cellStyle name="20% - Accent6 2 3 7 3" xfId="13286" xr:uid="{00000000-0005-0000-0000-0000082B0000}"/>
    <cellStyle name="20% - Accent6 2 3 8" xfId="33579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6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4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5" xr:uid="{00000000-0005-0000-0000-00007E2B0000}"/>
    <cellStyle name="20% - Accent6 2 4 5 2 2" xfId="31260" xr:uid="{00000000-0005-0000-0000-00007F2B0000}"/>
    <cellStyle name="20% - Accent6 2 4 5 2 2 2" xfId="32988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4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7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3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89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2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5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4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6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8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6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8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3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5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8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2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3" xr:uid="{00000000-0005-0000-0000-0000842D0000}"/>
    <cellStyle name="20% - Accent6 3 3 6 2 2" xfId="32706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4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4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79" xr:uid="{00000000-0005-0000-0000-0000982D0000}"/>
    <cellStyle name="20% - Accent6 3 4 2 2 4" xfId="33935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0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09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3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1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7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2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6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4" xr:uid="{00000000-0005-0000-0000-0000452E0000}"/>
    <cellStyle name="20% - Accent6 4 2 2 5 3" xfId="32669" xr:uid="{00000000-0005-0000-0000-0000462E0000}"/>
    <cellStyle name="20% - Accent6 4 2 2 6" xfId="13917" xr:uid="{00000000-0005-0000-0000-0000472E0000}"/>
    <cellStyle name="20% - Accent6 4 2 2 6 2" xfId="32793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6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2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8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7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3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4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1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7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0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2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0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8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0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1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4" xr:uid="{00000000-0005-0000-0000-000068310000}"/>
    <cellStyle name="40% - Accent1 2 2 3 3 4 2" xfId="33780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49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1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8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5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3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6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5" xr:uid="{00000000-0005-0000-0000-0000E9310000}"/>
    <cellStyle name="40% - Accent1 2 2 5 4 3" xfId="32346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3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29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2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5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4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2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5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5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1" xr:uid="{00000000-0005-0000-0000-000029330000}"/>
    <cellStyle name="40% - Accent1 2 4 2 2 4 3" xfId="32091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5" xr:uid="{00000000-0005-0000-0000-000050330000}"/>
    <cellStyle name="40% - Accent1 2 4 3 2 2 2 2" xfId="6726" xr:uid="{00000000-0005-0000-0000-000051330000}"/>
    <cellStyle name="40% - Accent1 2 4 3 2 2 2 2 2" xfId="33487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5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3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8" xr:uid="{00000000-0005-0000-0000-00000D340000}"/>
    <cellStyle name="40% - Accent1 3 2 2 2 2 2" xfId="33891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5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29" xr:uid="{00000000-0005-0000-0000-00002B340000}"/>
    <cellStyle name="40% - Accent1 3 2 2 2 2 6" xfId="15385" xr:uid="{00000000-0005-0000-0000-00002C340000}"/>
    <cellStyle name="40% - Accent1 3 2 2 2 3" xfId="33384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0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3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2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1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69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3" xr:uid="{00000000-0005-0000-0000-000087340000}"/>
    <cellStyle name="40% - Accent1 3 2 2 7" xfId="9620" xr:uid="{00000000-0005-0000-0000-000088340000}"/>
    <cellStyle name="40% - Accent1 3 2 2 7 2" xfId="32637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8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0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3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3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8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1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7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29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6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2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8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2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2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6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6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0" xr:uid="{00000000-0005-0000-0000-0000F7350000}"/>
    <cellStyle name="40% - Accent1 3 6 4 2" xfId="15972" xr:uid="{00000000-0005-0000-0000-0000F8350000}"/>
    <cellStyle name="40% - Accent1 3 6 5" xfId="31797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6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199" xr:uid="{00000000-0005-0000-0000-00000F360000}"/>
    <cellStyle name="40% - Accent1 4 2 2 2 2 2 2 2 2" xfId="15990" xr:uid="{00000000-0005-0000-0000-000010360000}"/>
    <cellStyle name="40% - Accent1 4 2 2 2 2 2 2 3" xfId="32019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3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3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6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7" xr:uid="{00000000-0005-0000-0000-0000D1360000}"/>
    <cellStyle name="40% - Accent1 4 4 2 2 4" xfId="15" xr:uid="{00000000-0005-0000-0000-0000D2360000}"/>
    <cellStyle name="40% - Accent1 4 4 2 3" xfId="33133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3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2" xr:uid="{00000000-0005-0000-0000-0000EB360000}"/>
    <cellStyle name="40% - Accent1 4 5 2 2 2" xfId="33446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1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599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8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8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6" xr:uid="{00000000-0005-0000-0000-000003390000}"/>
    <cellStyle name="40% - Accent2 2 2 2 6 3" xfId="32082" xr:uid="{00000000-0005-0000-0000-000004390000}"/>
    <cellStyle name="40% - Accent2 2 2 2 6 3 2" xfId="32940" xr:uid="{00000000-0005-0000-0000-000005390000}"/>
    <cellStyle name="40% - Accent2 2 2 2 6 4" xfId="12034" xr:uid="{00000000-0005-0000-0000-000006390000}"/>
    <cellStyle name="40% - Accent2 2 2 2 7" xfId="33999" xr:uid="{00000000-0005-0000-0000-000007390000}"/>
    <cellStyle name="40% - Accent2 2 2 2 7 2" xfId="33229" xr:uid="{00000000-0005-0000-0000-000008390000}"/>
    <cellStyle name="40% - Accent2 2 2 2 7 2 2" xfId="11519" xr:uid="{00000000-0005-0000-0000-000009390000}"/>
    <cellStyle name="40% - Accent2 2 2 2 7 3" xfId="32097" xr:uid="{00000000-0005-0000-0000-00000A390000}"/>
    <cellStyle name="40% - Accent2 2 2 2 8" xfId="27407" xr:uid="{00000000-0005-0000-0000-00000B390000}"/>
    <cellStyle name="40% - Accent2 2 2 2 8 2" xfId="33784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1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2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3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4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1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2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2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7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5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3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2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1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6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0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2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7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3" xr:uid="{00000000-0005-0000-0000-00008A3A0000}"/>
    <cellStyle name="40% - Accent2 2 3 2 7 2" xfId="7803" xr:uid="{00000000-0005-0000-0000-00008B3A0000}"/>
    <cellStyle name="40% - Accent2 2 3 2 8" xfId="32149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499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8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3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0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0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09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7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1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69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6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09" xr:uid="{00000000-0005-0000-0000-0000483B0000}"/>
    <cellStyle name="40% - Accent2 2 4 2 5 3" xfId="32174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6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6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6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1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1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8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5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1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5" xr:uid="{00000000-0005-0000-0000-0000803C0000}"/>
    <cellStyle name="40% - Accent2 3 2 2 5 3" xfId="33827" xr:uid="{00000000-0005-0000-0000-0000813C0000}"/>
    <cellStyle name="40% - Accent2 3 2 2 5 3 2" xfId="32631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4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1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2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6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2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0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4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2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7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5" xr:uid="{00000000-0005-0000-0000-0000433E0000}"/>
    <cellStyle name="40% - Accent2 4 2 2 5 2" xfId="33808" xr:uid="{00000000-0005-0000-0000-0000443E0000}"/>
    <cellStyle name="40% - Accent2 4 2 2 5 2 2" xfId="30642" xr:uid="{00000000-0005-0000-0000-0000453E0000}"/>
    <cellStyle name="40% - Accent2 4 2 2 5 3" xfId="33811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7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2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79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49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4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0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7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5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7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7" xr:uid="{00000000-0005-0000-0000-0000273F0000}"/>
    <cellStyle name="40% - Accent2 5 2 2 5 2" xfId="31949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8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7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5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1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7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7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89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2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5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5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69" xr:uid="{00000000-0005-0000-0000-00007A400000}"/>
    <cellStyle name="40% - Accent3 2 2 2 2 4 3 2 2" xfId="18602" xr:uid="{00000000-0005-0000-0000-00007B400000}"/>
    <cellStyle name="40% - Accent3 2 2 2 2 4 3 3" xfId="32790" xr:uid="{00000000-0005-0000-0000-00007C400000}"/>
    <cellStyle name="40% - Accent3 2 2 2 2 4 4" xfId="18603" xr:uid="{00000000-0005-0000-0000-00007D400000}"/>
    <cellStyle name="40% - Accent3 2 2 2 2 4 4 2" xfId="32895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1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49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5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2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4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69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8" xr:uid="{00000000-0005-0000-0000-00005C410000}"/>
    <cellStyle name="40% - Accent3 2 2 3 3 2 4" xfId="8466" xr:uid="{00000000-0005-0000-0000-00005D410000}"/>
    <cellStyle name="40% - Accent3 2 2 3 3 2 4 2" xfId="33369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2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59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2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7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39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1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6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0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7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4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4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3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6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2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4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1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2" xr:uid="{00000000-0005-0000-0000-000086420000}"/>
    <cellStyle name="40% - Accent3 2 3 2 6 2" xfId="32343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6" xr:uid="{00000000-0005-0000-0000-00008A420000}"/>
    <cellStyle name="40% - Accent3 2 3 2 7 2" xfId="2401" xr:uid="{00000000-0005-0000-0000-00008B420000}"/>
    <cellStyle name="40% - Accent3 2 3 2 8" xfId="32676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0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6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5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6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7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3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5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5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4" xr:uid="{00000000-0005-0000-0000-000021430000}"/>
    <cellStyle name="40% - Accent3 2 4 2 2 3 2 2 2" xfId="15923" xr:uid="{00000000-0005-0000-0000-000022430000}"/>
    <cellStyle name="40% - Accent3 2 4 2 2 3 2 3" xfId="33322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7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0" xr:uid="{00000000-0005-0000-0000-00006A430000}"/>
    <cellStyle name="40% - Accent3 2 4 3 5 2" xfId="27515" xr:uid="{00000000-0005-0000-0000-00006B430000}"/>
    <cellStyle name="40% - Accent3 2 4 3 6" xfId="32791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5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8" xr:uid="{00000000-0005-0000-0000-00009B430000}"/>
    <cellStyle name="40% - Accent3 2 5 2 2 4 2" xfId="32210" xr:uid="{00000000-0005-0000-0000-00009C430000}"/>
    <cellStyle name="40% - Accent3 2 5 2 2 5" xfId="32036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3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8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8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0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3" xr:uid="{00000000-0005-0000-0000-0000D4430000}"/>
    <cellStyle name="40% - Accent3 2 6 2 2 4" xfId="32297" xr:uid="{00000000-0005-0000-0000-0000D5430000}"/>
    <cellStyle name="40% - Accent3 2 6 2 3" xfId="18219" xr:uid="{00000000-0005-0000-0000-0000D6430000}"/>
    <cellStyle name="40% - Accent3 2 6 2 3 2" xfId="33766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1" xr:uid="{00000000-0005-0000-0000-0000DE430000}"/>
    <cellStyle name="40% - Accent3 2 6 3 2 2" xfId="17978" xr:uid="{00000000-0005-0000-0000-0000DF430000}"/>
    <cellStyle name="40% - Accent3 2 6 3 2 2 2" xfId="31705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6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1" xr:uid="{00000000-0005-0000-0000-0000F1430000}"/>
    <cellStyle name="40% - Accent3 2 7 2 3" xfId="2450" xr:uid="{00000000-0005-0000-0000-0000F2430000}"/>
    <cellStyle name="40% - Accent3 2 7 2 3 2" xfId="32109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7" xr:uid="{00000000-0005-0000-0000-0000FF430000}"/>
    <cellStyle name="40% - Accent3 2 8 2 3" xfId="32079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3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4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1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2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5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4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5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2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1" xr:uid="{00000000-0005-0000-0000-0000F1440000}"/>
    <cellStyle name="40% - Accent3 3 2 5 2 3 2" xfId="31312" xr:uid="{00000000-0005-0000-0000-0000F2440000}"/>
    <cellStyle name="40% - Accent3 3 2 5 2 4" xfId="32817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2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6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2" xr:uid="{00000000-0005-0000-0000-000017450000}"/>
    <cellStyle name="40% - Accent3 3 3 2 2 2 3 2 2" xfId="11548" xr:uid="{00000000-0005-0000-0000-000018450000}"/>
    <cellStyle name="40% - Accent3 3 3 2 2 2 3 3" xfId="32666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2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1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6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0" xr:uid="{00000000-0005-0000-0000-000059450000}"/>
    <cellStyle name="40% - Accent3 3 3 3 2 4 2" xfId="32514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8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8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39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79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7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8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0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6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69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5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19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7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4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7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1" xr:uid="{00000000-0005-0000-0000-0000CD470000}"/>
    <cellStyle name="40% - Accent3 7 2 2 2 3" xfId="20359" xr:uid="{00000000-0005-0000-0000-0000CE470000}"/>
    <cellStyle name="40% - Accent3 7 2 2 3" xfId="32212" xr:uid="{00000000-0005-0000-0000-0000CF470000}"/>
    <cellStyle name="40% - Accent3 7 2 2 3 2" xfId="19039" xr:uid="{00000000-0005-0000-0000-0000D0470000}"/>
    <cellStyle name="40% - Accent3 7 2 2 4" xfId="33137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0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0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3" xr:uid="{00000000-0005-0000-0000-0000FA470000}"/>
    <cellStyle name="40% - Accent3 9 2 2 2" xfId="21862" xr:uid="{00000000-0005-0000-0000-0000FB470000}"/>
    <cellStyle name="40% - Accent3 9 2 3" xfId="32756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6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29" xr:uid="{00000000-0005-0000-0000-000030480000}"/>
    <cellStyle name="40% - Accent4 2 2 2 2 2 3" xfId="20417" xr:uid="{00000000-0005-0000-0000-000031480000}"/>
    <cellStyle name="40% - Accent4 2 2 2 2 2 3 2" xfId="33258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7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8" xr:uid="{00000000-0005-0000-0000-000045480000}"/>
    <cellStyle name="40% - Accent4 2 2 2 2 2 4 3" xfId="33313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0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1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7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0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4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0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4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0" xr:uid="{00000000-0005-0000-0000-0000A4480000}"/>
    <cellStyle name="40% - Accent4 2 2 2 3 2 3 2 3" xfId="20925" xr:uid="{00000000-0005-0000-0000-0000A5480000}"/>
    <cellStyle name="40% - Accent4 2 2 2 3 2 3 3" xfId="33302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4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1" xr:uid="{00000000-0005-0000-0000-0000DA480000}"/>
    <cellStyle name="40% - Accent4 2 2 2 4 2 3 2 2" xfId="32206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1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7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6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3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5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0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6" xr:uid="{00000000-0005-0000-0000-0000094A0000}"/>
    <cellStyle name="40% - Accent4 2 2 9" xfId="16949" xr:uid="{00000000-0005-0000-0000-00000A4A0000}"/>
    <cellStyle name="40% - Accent4 2 2 9 2" xfId="33317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39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7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6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89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0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1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7" xr:uid="{00000000-0005-0000-0000-0000EE4A0000}"/>
    <cellStyle name="40% - Accent4 2 3 5 2 2" xfId="33373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0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29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4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2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2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6" xr:uid="{00000000-0005-0000-0000-00009D4B0000}"/>
    <cellStyle name="40% - Accent4 2 5 2 3" xfId="21764" xr:uid="{00000000-0005-0000-0000-00009E4B0000}"/>
    <cellStyle name="40% - Accent4 2 5 2 3 2" xfId="33150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8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0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5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5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8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3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6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5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0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7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0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8" xr:uid="{00000000-0005-0000-0000-0000884C0000}"/>
    <cellStyle name="40% - Accent4 3 2 2 7 2" xfId="23072" xr:uid="{00000000-0005-0000-0000-0000894C0000}"/>
    <cellStyle name="40% - Accent4 3 2 2 8" xfId="33037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8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3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69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1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8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7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0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4" xr:uid="{00000000-0005-0000-0000-0000EB4C0000}"/>
    <cellStyle name="40% - Accent4 3 2 5 2" xfId="27242" xr:uid="{00000000-0005-0000-0000-0000EC4C0000}"/>
    <cellStyle name="40% - Accent4 3 2 5 2 2" xfId="33596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7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5" xr:uid="{00000000-0005-0000-0000-0000FD4C0000}"/>
    <cellStyle name="40% - Accent4 3 2 6 2 2 2" xfId="32630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5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0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3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7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3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3" xr:uid="{00000000-0005-0000-0000-0000F54D0000}"/>
    <cellStyle name="40% - Accent4 3 6 3 3" xfId="31971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59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0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0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6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3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3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8" xr:uid="{00000000-0005-0000-0000-0000284E0000}"/>
    <cellStyle name="40% - Accent4 4 2 2 2 5 2" xfId="33586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8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3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2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6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1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7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6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6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6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7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0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4" xr:uid="{00000000-0005-0000-0000-000085500000}"/>
    <cellStyle name="40% - Accent5 2 2 2 2 5 3 2" xfId="23420" xr:uid="{00000000-0005-0000-0000-000086500000}"/>
    <cellStyle name="40% - Accent5 2 2 2 2 5 4" xfId="33533" xr:uid="{00000000-0005-0000-0000-000087500000}"/>
    <cellStyle name="40% - Accent5 2 2 2 2 6" xfId="30529" xr:uid="{00000000-0005-0000-0000-000088500000}"/>
    <cellStyle name="40% - Accent5 2 2 2 2 6 2" xfId="32488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2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5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4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7" xr:uid="{00000000-0005-0000-0000-0000B3500000}"/>
    <cellStyle name="40% - Accent5 2 2 2 3 3 2 2 2 2" xfId="23447" xr:uid="{00000000-0005-0000-0000-0000B4500000}"/>
    <cellStyle name="40% - Accent5 2 2 2 3 3 2 2 3" xfId="32789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1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0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2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1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0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8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8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2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8" xr:uid="{00000000-0005-0000-0000-000061510000}"/>
    <cellStyle name="40% - Accent5 2 2 3 3 3 2 2" xfId="33698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7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399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0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5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1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7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29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2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1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19" xr:uid="{00000000-0005-0000-0000-00000A520000}"/>
    <cellStyle name="40% - Accent5 2 2 9 2" xfId="32759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3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2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2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4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8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6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6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5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4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8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7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0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7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0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7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2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2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6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8" xr:uid="{00000000-0005-0000-0000-0000CF530000}"/>
    <cellStyle name="40% - Accent5 2 6 2 2 2 2" xfId="9505" xr:uid="{00000000-0005-0000-0000-0000D0530000}"/>
    <cellStyle name="40% - Accent5 2 6 2 2 2 2 2" xfId="33276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2" xr:uid="{00000000-0005-0000-0000-0000FF530000}"/>
    <cellStyle name="40% - Accent5 2 8 2 3" xfId="32474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7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8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2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1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7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1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8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4" xr:uid="{00000000-0005-0000-0000-0000D8540000}"/>
    <cellStyle name="40% - Accent5 3 2 4 2 4" xfId="32717" xr:uid="{00000000-0005-0000-0000-0000D9540000}"/>
    <cellStyle name="40% - Accent5 3 2 4 2 4 2" xfId="26480" xr:uid="{00000000-0005-0000-0000-0000DA540000}"/>
    <cellStyle name="40% - Accent5 3 2 4 2 5" xfId="31748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2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0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4" xr:uid="{00000000-0005-0000-0000-000096550000}"/>
    <cellStyle name="40% - Accent5 3 4 2 2 3 2 2" xfId="8423" xr:uid="{00000000-0005-0000-0000-000097550000}"/>
    <cellStyle name="40% - Accent5 3 4 2 2 3 3" xfId="31728" xr:uid="{00000000-0005-0000-0000-000098550000}"/>
    <cellStyle name="40% - Accent5 3 4 2 2 4" xfId="28170" xr:uid="{00000000-0005-0000-0000-000099550000}"/>
    <cellStyle name="40% - Accent5 3 4 2 2 4 2" xfId="33979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2999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49" xr:uid="{00000000-0005-0000-0000-0000AC550000}"/>
    <cellStyle name="40% - Accent5 3 4 3 2 2" xfId="10711" xr:uid="{00000000-0005-0000-0000-0000AD550000}"/>
    <cellStyle name="40% - Accent5 3 4 3 2 2 2" xfId="33949" xr:uid="{00000000-0005-0000-0000-0000AE550000}"/>
    <cellStyle name="40% - Accent5 3 4 3 2 2 2 2" xfId="1369" xr:uid="{00000000-0005-0000-0000-0000AF550000}"/>
    <cellStyle name="40% - Accent5 3 4 3 2 2 3" xfId="32135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0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59" xr:uid="{00000000-0005-0000-0000-0000D0550000}"/>
    <cellStyle name="40% - Accent5 3 5 2 2 3" xfId="28403" xr:uid="{00000000-0005-0000-0000-0000D1550000}"/>
    <cellStyle name="40% - Accent5 3 5 2 2 3 2" xfId="32946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6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3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8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8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4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5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5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0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7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3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2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7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7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5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1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2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4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7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4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5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0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39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7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59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1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79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8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5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8" xr:uid="{00000000-0005-0000-0000-0000A3590000}"/>
    <cellStyle name="40% - Accent6 2 2 4 2 3 2 3" xfId="26061" xr:uid="{00000000-0005-0000-0000-0000A4590000}"/>
    <cellStyle name="40% - Accent6 2 2 4 2 3 3" xfId="32527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8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8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0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7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8" xr:uid="{00000000-0005-0000-0000-00002B5A0000}"/>
    <cellStyle name="40% - Accent6 2 3 2 2 2 5" xfId="1910" xr:uid="{00000000-0005-0000-0000-00002C5A0000}"/>
    <cellStyle name="40% - Accent6 2 3 2 2 2 5 2" xfId="32885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09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3" xr:uid="{00000000-0005-0000-0000-0000605A0000}"/>
    <cellStyle name="40% - Accent6 2 3 2 3 3 2 2" xfId="62" xr:uid="{00000000-0005-0000-0000-0000615A0000}"/>
    <cellStyle name="40% - Accent6 2 3 2 3 3 2 2 2" xfId="32456" xr:uid="{00000000-0005-0000-0000-0000625A0000}"/>
    <cellStyle name="40% - Accent6 2 3 2 3 3 2 3" xfId="24468" xr:uid="{00000000-0005-0000-0000-0000635A0000}"/>
    <cellStyle name="40% - Accent6 2 3 2 3 3 3" xfId="31937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6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2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6" xr:uid="{00000000-0005-0000-0000-00008A5A0000}"/>
    <cellStyle name="40% - Accent6 2 3 2 7 2" xfId="26267" xr:uid="{00000000-0005-0000-0000-00008B5A0000}"/>
    <cellStyle name="40% - Accent6 2 3 2 8" xfId="31857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5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19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1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5" xr:uid="{00000000-0005-0000-0000-0000B65A0000}"/>
    <cellStyle name="40% - Accent6 2 3 3 3 3" xfId="26297" xr:uid="{00000000-0005-0000-0000-0000B75A0000}"/>
    <cellStyle name="40% - Accent6 2 3 3 3 3 2" xfId="31709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6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7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7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2" xr:uid="{00000000-0005-0000-0000-0000D55A0000}"/>
    <cellStyle name="40% - Accent6 2 3 4 2 2 4" xfId="32140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0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7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2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3" xr:uid="{00000000-0005-0000-0000-0000F45A0000}"/>
    <cellStyle name="40% - Accent6 2 3 5 2 4" xfId="32985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1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2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2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19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8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5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3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0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0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5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2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69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2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0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3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0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6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7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39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8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5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0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4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1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6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6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5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3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3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1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59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5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8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8" xr:uid="{00000000-0005-0000-0000-0000465F0000}"/>
    <cellStyle name="40% - Accent6 5 2 6 2" xfId="32069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5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5" builtinId="3"/>
    <cellStyle name="Comma 2" xfId="13193" xr:uid="{00000000-0005-0000-0000-000015600000}"/>
    <cellStyle name="Comma 3" xfId="20776" xr:uid="{00000000-0005-0000-0000-000016600000}"/>
    <cellStyle name="Comma 4" xfId="20794" xr:uid="{00000000-0005-0000-0000-000017600000}"/>
    <cellStyle name="Comma 5" xfId="20803" xr:uid="{00000000-0005-0000-0000-000018600000}"/>
    <cellStyle name="Comma 6" xfId="33910" xr:uid="{00000000-0005-0000-0000-000019600000}"/>
    <cellStyle name="Excel Built-in Normal" xfId="26536" xr:uid="{00000000-0005-0000-0000-00001A600000}"/>
    <cellStyle name="Excel Built-in Normal 2" xfId="30008" xr:uid="{00000000-0005-0000-0000-00001B600000}"/>
    <cellStyle name="Explanatory Text 2" xfId="11423" xr:uid="{00000000-0005-0000-0000-00001C600000}"/>
    <cellStyle name="Good 2" xfId="7966" xr:uid="{00000000-0005-0000-0000-00001D600000}"/>
    <cellStyle name="Heading 1 2" xfId="27945" xr:uid="{00000000-0005-0000-0000-00001E600000}"/>
    <cellStyle name="Heading 2 2" xfId="27947" xr:uid="{00000000-0005-0000-0000-00001F600000}"/>
    <cellStyle name="Heading 3 2" xfId="29981" xr:uid="{00000000-0005-0000-0000-000020600000}"/>
    <cellStyle name="Heading 4 2" xfId="3106" xr:uid="{00000000-0005-0000-0000-000021600000}"/>
    <cellStyle name="Input 2" xfId="22623" xr:uid="{00000000-0005-0000-0000-000022600000}"/>
    <cellStyle name="Linked Cell 2" xfId="7873" xr:uid="{00000000-0005-0000-0000-000023600000}"/>
    <cellStyle name="Neutral 2" xfId="18022" xr:uid="{00000000-0005-0000-0000-000024600000}"/>
    <cellStyle name="Neutral 3" xfId="26166" xr:uid="{00000000-0005-0000-0000-000025600000}"/>
    <cellStyle name="Normal" xfId="0" builtinId="0"/>
    <cellStyle name="Normal 10" xfId="17312" xr:uid="{00000000-0005-0000-0000-000027600000}"/>
    <cellStyle name="Normal 10 2" xfId="17038" xr:uid="{00000000-0005-0000-0000-000028600000}"/>
    <cellStyle name="Normal 11" xfId="11204" xr:uid="{00000000-0005-0000-0000-000029600000}"/>
    <cellStyle name="Normal 11 2" xfId="30020" xr:uid="{00000000-0005-0000-0000-00002A600000}"/>
    <cellStyle name="Normal 11 2 2" xfId="14479" xr:uid="{00000000-0005-0000-0000-00002B600000}"/>
    <cellStyle name="Normal 11 2 2 2" xfId="33645" xr:uid="{00000000-0005-0000-0000-00002C600000}"/>
    <cellStyle name="Normal 11 2 2 2 2" xfId="2181" xr:uid="{00000000-0005-0000-0000-00002D600000}"/>
    <cellStyle name="Normal 11 2 2 2 2 2" xfId="24840" xr:uid="{00000000-0005-0000-0000-00002E600000}"/>
    <cellStyle name="Normal 11 2 2 2 2 2 2" xfId="27138" xr:uid="{00000000-0005-0000-0000-00002F600000}"/>
    <cellStyle name="Normal 11 2 2 2 2 2 2 2" xfId="19132" xr:uid="{00000000-0005-0000-0000-000030600000}"/>
    <cellStyle name="Normal 11 2 2 2 2 2 3" xfId="27143" xr:uid="{00000000-0005-0000-0000-000031600000}"/>
    <cellStyle name="Normal 11 2 2 2 2 3" xfId="24849" xr:uid="{00000000-0005-0000-0000-000032600000}"/>
    <cellStyle name="Normal 11 2 2 2 2 3 2" xfId="27146" xr:uid="{00000000-0005-0000-0000-000033600000}"/>
    <cellStyle name="Normal 11 2 2 2 2 4" xfId="26885" xr:uid="{00000000-0005-0000-0000-000034600000}"/>
    <cellStyle name="Normal 11 2 2 2 3" xfId="18881" xr:uid="{00000000-0005-0000-0000-000035600000}"/>
    <cellStyle name="Normal 11 2 2 2 3 2" xfId="18886" xr:uid="{00000000-0005-0000-0000-000036600000}"/>
    <cellStyle name="Normal 11 2 2 2 3 2 2" xfId="14711" xr:uid="{00000000-0005-0000-0000-000037600000}"/>
    <cellStyle name="Normal 11 2 2 2 3 3" xfId="18901" xr:uid="{00000000-0005-0000-0000-000038600000}"/>
    <cellStyle name="Normal 11 2 2 2 4" xfId="12988" xr:uid="{00000000-0005-0000-0000-000039600000}"/>
    <cellStyle name="Normal 11 2 2 2 4 2" xfId="24041" xr:uid="{00000000-0005-0000-0000-00003A600000}"/>
    <cellStyle name="Normal 11 2 2 2 5" xfId="19161" xr:uid="{00000000-0005-0000-0000-00003B600000}"/>
    <cellStyle name="Normal 11 2 2 3" xfId="9766" xr:uid="{00000000-0005-0000-0000-00003C600000}"/>
    <cellStyle name="Normal 11 2 2 3 2" xfId="27148" xr:uid="{00000000-0005-0000-0000-00003D600000}"/>
    <cellStyle name="Normal 11 2 2 3 2 2" xfId="24183" xr:uid="{00000000-0005-0000-0000-00003E600000}"/>
    <cellStyle name="Normal 11 2 2 3 2 2 2" xfId="17562" xr:uid="{00000000-0005-0000-0000-00003F600000}"/>
    <cellStyle name="Normal 11 2 2 3 2 3" xfId="8752" xr:uid="{00000000-0005-0000-0000-000040600000}"/>
    <cellStyle name="Normal 11 2 2 3 3" xfId="18919" xr:uid="{00000000-0005-0000-0000-000041600000}"/>
    <cellStyle name="Normal 11 2 2 3 3 2" xfId="24070" xr:uid="{00000000-0005-0000-0000-000042600000}"/>
    <cellStyle name="Normal 11 2 2 3 4" xfId="22601" xr:uid="{00000000-0005-0000-0000-000043600000}"/>
    <cellStyle name="Normal 11 2 2 4" xfId="25091" xr:uid="{00000000-0005-0000-0000-000044600000}"/>
    <cellStyle name="Normal 11 2 2 4 2" xfId="26696" xr:uid="{00000000-0005-0000-0000-000045600000}"/>
    <cellStyle name="Normal 11 2 2 4 2 2" xfId="26455" xr:uid="{00000000-0005-0000-0000-000046600000}"/>
    <cellStyle name="Normal 11 2 2 4 3" xfId="18935" xr:uid="{00000000-0005-0000-0000-000047600000}"/>
    <cellStyle name="Normal 11 2 2 5" xfId="26804" xr:uid="{00000000-0005-0000-0000-000048600000}"/>
    <cellStyle name="Normal 11 2 2 5 2" xfId="14828" xr:uid="{00000000-0005-0000-0000-000049600000}"/>
    <cellStyle name="Normal 11 2 2 6" xfId="11758" xr:uid="{00000000-0005-0000-0000-00004A600000}"/>
    <cellStyle name="Normal 11 2 3" xfId="946" xr:uid="{00000000-0005-0000-0000-00004B600000}"/>
    <cellStyle name="Normal 11 2 3 2" xfId="33304" xr:uid="{00000000-0005-0000-0000-00004C600000}"/>
    <cellStyle name="Normal 11 2 3 2 2" xfId="27150" xr:uid="{00000000-0005-0000-0000-00004D600000}"/>
    <cellStyle name="Normal 11 2 3 2 2 2" xfId="10085" xr:uid="{00000000-0005-0000-0000-00004E600000}"/>
    <cellStyle name="Normal 11 2 3 2 2 2 2" xfId="27156" xr:uid="{00000000-0005-0000-0000-00004F600000}"/>
    <cellStyle name="Normal 11 2 3 2 2 3" xfId="27161" xr:uid="{00000000-0005-0000-0000-000050600000}"/>
    <cellStyle name="Normal 11 2 3 2 3" xfId="19117" xr:uid="{00000000-0005-0000-0000-000051600000}"/>
    <cellStyle name="Normal 11 2 3 2 3 2" xfId="1688" xr:uid="{00000000-0005-0000-0000-000052600000}"/>
    <cellStyle name="Normal 11 2 3 2 4" xfId="22802" xr:uid="{00000000-0005-0000-0000-000053600000}"/>
    <cellStyle name="Normal 11 2 3 3" xfId="30731" xr:uid="{00000000-0005-0000-0000-000054600000}"/>
    <cellStyle name="Normal 11 2 3 3 2" xfId="27873" xr:uid="{00000000-0005-0000-0000-000055600000}"/>
    <cellStyle name="Normal 11 2 3 3 2 2" xfId="24492" xr:uid="{00000000-0005-0000-0000-000056600000}"/>
    <cellStyle name="Normal 11 2 3 3 3" xfId="19867" xr:uid="{00000000-0005-0000-0000-000057600000}"/>
    <cellStyle name="Normal 11 2 3 4" xfId="30331" xr:uid="{00000000-0005-0000-0000-000058600000}"/>
    <cellStyle name="Normal 11 2 3 4 2" xfId="20310" xr:uid="{00000000-0005-0000-0000-000059600000}"/>
    <cellStyle name="Normal 11 2 3 5" xfId="29532" xr:uid="{00000000-0005-0000-0000-00005A600000}"/>
    <cellStyle name="Normal 11 2 4" xfId="31972" xr:uid="{00000000-0005-0000-0000-00005B600000}"/>
    <cellStyle name="Normal 11 2 4 2" xfId="17457" xr:uid="{00000000-0005-0000-0000-00005C600000}"/>
    <cellStyle name="Normal 11 2 4 2 2" xfId="6417" xr:uid="{00000000-0005-0000-0000-00005D600000}"/>
    <cellStyle name="Normal 11 2 4 2 2 2" xfId="6424" xr:uid="{00000000-0005-0000-0000-00005E600000}"/>
    <cellStyle name="Normal 11 2 4 2 3" xfId="6428" xr:uid="{00000000-0005-0000-0000-00005F600000}"/>
    <cellStyle name="Normal 11 2 4 3" xfId="17460" xr:uid="{00000000-0005-0000-0000-000060600000}"/>
    <cellStyle name="Normal 11 2 4 3 2" xfId="24945" xr:uid="{00000000-0005-0000-0000-000061600000}"/>
    <cellStyle name="Normal 11 2 4 4" xfId="5694" xr:uid="{00000000-0005-0000-0000-000062600000}"/>
    <cellStyle name="Normal 11 2 5" xfId="27166" xr:uid="{00000000-0005-0000-0000-000063600000}"/>
    <cellStyle name="Normal 11 2 5 2" xfId="17882" xr:uid="{00000000-0005-0000-0000-000064600000}"/>
    <cellStyle name="Normal 11 2 5 2 2" xfId="4859" xr:uid="{00000000-0005-0000-0000-000065600000}"/>
    <cellStyle name="Normal 11 2 5 3" xfId="6075" xr:uid="{00000000-0005-0000-0000-000066600000}"/>
    <cellStyle name="Normal 11 2 6" xfId="14037" xr:uid="{00000000-0005-0000-0000-000067600000}"/>
    <cellStyle name="Normal 11 2 6 2" xfId="18239" xr:uid="{00000000-0005-0000-0000-000068600000}"/>
    <cellStyle name="Normal 11 2 7" xfId="11325" xr:uid="{00000000-0005-0000-0000-000069600000}"/>
    <cellStyle name="Normal 11 2 8" xfId="10397" xr:uid="{00000000-0005-0000-0000-00006A600000}"/>
    <cellStyle name="Normal 11 3" xfId="33680" xr:uid="{00000000-0005-0000-0000-00006B600000}"/>
    <cellStyle name="Normal 11 3 2" xfId="27168" xr:uid="{00000000-0005-0000-0000-00006C600000}"/>
    <cellStyle name="Normal 11 3 2 2" xfId="27169" xr:uid="{00000000-0005-0000-0000-00006D600000}"/>
    <cellStyle name="Normal 11 3 2 2 2" xfId="27430" xr:uid="{00000000-0005-0000-0000-00006E600000}"/>
    <cellStyle name="Normal 11 3 2 2 2 2" xfId="24861" xr:uid="{00000000-0005-0000-0000-00006F600000}"/>
    <cellStyle name="Normal 11 3 2 2 2 2 2" xfId="27172" xr:uid="{00000000-0005-0000-0000-000070600000}"/>
    <cellStyle name="Normal 11 3 2 2 2 3" xfId="27725" xr:uid="{00000000-0005-0000-0000-000071600000}"/>
    <cellStyle name="Normal 11 3 2 2 3" xfId="19549" xr:uid="{00000000-0005-0000-0000-000072600000}"/>
    <cellStyle name="Normal 11 3 2 2 3 2" xfId="22624" xr:uid="{00000000-0005-0000-0000-000073600000}"/>
    <cellStyle name="Normal 11 3 2 2 4" xfId="19553" xr:uid="{00000000-0005-0000-0000-000074600000}"/>
    <cellStyle name="Normal 11 3 2 3" xfId="25098" xr:uid="{00000000-0005-0000-0000-000075600000}"/>
    <cellStyle name="Normal 11 3 2 3 2" xfId="27178" xr:uid="{00000000-0005-0000-0000-000076600000}"/>
    <cellStyle name="Normal 11 3 2 3 2 2" xfId="27182" xr:uid="{00000000-0005-0000-0000-000077600000}"/>
    <cellStyle name="Normal 11 3 2 3 3" xfId="19578" xr:uid="{00000000-0005-0000-0000-000078600000}"/>
    <cellStyle name="Normal 11 3 2 4" xfId="28242" xr:uid="{00000000-0005-0000-0000-000079600000}"/>
    <cellStyle name="Normal 11 3 2 4 2" xfId="9753" xr:uid="{00000000-0005-0000-0000-00007A600000}"/>
    <cellStyle name="Normal 11 3 2 5" xfId="29075" xr:uid="{00000000-0005-0000-0000-00007B600000}"/>
    <cellStyle name="Normal 11 3 3" xfId="31029" xr:uid="{00000000-0005-0000-0000-00007C600000}"/>
    <cellStyle name="Normal 11 3 3 2" xfId="28639" xr:uid="{00000000-0005-0000-0000-00007D600000}"/>
    <cellStyle name="Normal 11 3 3 2 2" xfId="27189" xr:uid="{00000000-0005-0000-0000-00007E600000}"/>
    <cellStyle name="Normal 11 3 3 2 2 2" xfId="16419" xr:uid="{00000000-0005-0000-0000-00007F600000}"/>
    <cellStyle name="Normal 11 3 3 2 3" xfId="19673" xr:uid="{00000000-0005-0000-0000-000080600000}"/>
    <cellStyle name="Normal 11 3 3 3" xfId="31998" xr:uid="{00000000-0005-0000-0000-000081600000}"/>
    <cellStyle name="Normal 11 3 3 3 2" xfId="29610" xr:uid="{00000000-0005-0000-0000-000082600000}"/>
    <cellStyle name="Normal 11 3 3 4" xfId="32002" xr:uid="{00000000-0005-0000-0000-000083600000}"/>
    <cellStyle name="Normal 11 3 4" xfId="27193" xr:uid="{00000000-0005-0000-0000-000084600000}"/>
    <cellStyle name="Normal 11 3 4 2" xfId="20689" xr:uid="{00000000-0005-0000-0000-000085600000}"/>
    <cellStyle name="Normal 11 3 4 2 2" xfId="6542" xr:uid="{00000000-0005-0000-0000-000086600000}"/>
    <cellStyle name="Normal 11 3 4 3" xfId="19315" xr:uid="{00000000-0005-0000-0000-000087600000}"/>
    <cellStyle name="Normal 11 3 5" xfId="25820" xr:uid="{00000000-0005-0000-0000-000088600000}"/>
    <cellStyle name="Normal 11 3 5 2" xfId="19786" xr:uid="{00000000-0005-0000-0000-000089600000}"/>
    <cellStyle name="Normal 11 3 6" xfId="18856" xr:uid="{00000000-0005-0000-0000-00008A600000}"/>
    <cellStyle name="Normal 11 4" xfId="30285" xr:uid="{00000000-0005-0000-0000-00008B600000}"/>
    <cellStyle name="Normal 11 4 2" xfId="32543" xr:uid="{00000000-0005-0000-0000-00008C600000}"/>
    <cellStyle name="Normal 11 4 2 2" xfId="24187" xr:uid="{00000000-0005-0000-0000-00008D600000}"/>
    <cellStyle name="Normal 11 4 2 2 2" xfId="6030" xr:uid="{00000000-0005-0000-0000-00008E600000}"/>
    <cellStyle name="Normal 11 4 2 2 2 2" xfId="28459" xr:uid="{00000000-0005-0000-0000-00008F600000}"/>
    <cellStyle name="Normal 11 4 2 2 3" xfId="19897" xr:uid="{00000000-0005-0000-0000-000090600000}"/>
    <cellStyle name="Normal 11 4 2 3" xfId="6666" xr:uid="{00000000-0005-0000-0000-000091600000}"/>
    <cellStyle name="Normal 11 4 2 3 2" xfId="27513" xr:uid="{00000000-0005-0000-0000-000092600000}"/>
    <cellStyle name="Normal 11 4 2 4" xfId="28467" xr:uid="{00000000-0005-0000-0000-000093600000}"/>
    <cellStyle name="Normal 11 4 3" xfId="712" xr:uid="{00000000-0005-0000-0000-000094600000}"/>
    <cellStyle name="Normal 11 4 3 2" xfId="6692" xr:uid="{00000000-0005-0000-0000-000095600000}"/>
    <cellStyle name="Normal 11 4 3 2 2" xfId="33410" xr:uid="{00000000-0005-0000-0000-000096600000}"/>
    <cellStyle name="Normal 11 4 3 3" xfId="31650" xr:uid="{00000000-0005-0000-0000-000097600000}"/>
    <cellStyle name="Normal 11 4 4" xfId="14178" xr:uid="{00000000-0005-0000-0000-000098600000}"/>
    <cellStyle name="Normal 11 4 4 2" xfId="19488" xr:uid="{00000000-0005-0000-0000-000099600000}"/>
    <cellStyle name="Normal 11 4 5" xfId="18858" xr:uid="{00000000-0005-0000-0000-00009A600000}"/>
    <cellStyle name="Normal 11 5" xfId="32328" xr:uid="{00000000-0005-0000-0000-00009B600000}"/>
    <cellStyle name="Normal 11 5 2" xfId="20077" xr:uid="{00000000-0005-0000-0000-00009C600000}"/>
    <cellStyle name="Normal 11 5 2 2" xfId="24291" xr:uid="{00000000-0005-0000-0000-00009D600000}"/>
    <cellStyle name="Normal 11 5 2 2 2" xfId="18381" xr:uid="{00000000-0005-0000-0000-00009E600000}"/>
    <cellStyle name="Normal 11 5 2 3" xfId="16953" xr:uid="{00000000-0005-0000-0000-00009F600000}"/>
    <cellStyle name="Normal 11 5 3" xfId="14191" xr:uid="{00000000-0005-0000-0000-0000A0600000}"/>
    <cellStyle name="Normal 11 5 3 2" xfId="24628" xr:uid="{00000000-0005-0000-0000-0000A1600000}"/>
    <cellStyle name="Normal 11 5 4" xfId="7954" xr:uid="{00000000-0005-0000-0000-0000A2600000}"/>
    <cellStyle name="Normal 11 6" xfId="13035" xr:uid="{00000000-0005-0000-0000-0000A3600000}"/>
    <cellStyle name="Normal 11 6 2" xfId="14195" xr:uid="{00000000-0005-0000-0000-0000A4600000}"/>
    <cellStyle name="Normal 11 6 2 2" xfId="24404" xr:uid="{00000000-0005-0000-0000-0000A5600000}"/>
    <cellStyle name="Normal 11 6 3" xfId="1730" xr:uid="{00000000-0005-0000-0000-0000A6600000}"/>
    <cellStyle name="Normal 11 7" xfId="11015" xr:uid="{00000000-0005-0000-0000-0000A7600000}"/>
    <cellStyle name="Normal 11 7 2" xfId="5115" xr:uid="{00000000-0005-0000-0000-0000A8600000}"/>
    <cellStyle name="Normal 11 8" xfId="10139" xr:uid="{00000000-0005-0000-0000-0000A9600000}"/>
    <cellStyle name="Normal 11 9" xfId="27198" xr:uid="{00000000-0005-0000-0000-0000AA600000}"/>
    <cellStyle name="Normal 12" xfId="11712" xr:uid="{00000000-0005-0000-0000-0000AB600000}"/>
    <cellStyle name="Normal 13" xfId="28009" xr:uid="{00000000-0005-0000-0000-0000AC600000}"/>
    <cellStyle name="Normal 13 2" xfId="1142" xr:uid="{00000000-0005-0000-0000-0000AD600000}"/>
    <cellStyle name="Normal 13 2 2" xfId="20880" xr:uid="{00000000-0005-0000-0000-0000AE600000}"/>
    <cellStyle name="Normal 13 2 2 2" xfId="29630" xr:uid="{00000000-0005-0000-0000-0000AF600000}"/>
    <cellStyle name="Normal 13 2 2 2 2" xfId="29743" xr:uid="{00000000-0005-0000-0000-0000B0600000}"/>
    <cellStyle name="Normal 13 2 2 2 2 2" xfId="24673" xr:uid="{00000000-0005-0000-0000-0000B1600000}"/>
    <cellStyle name="Normal 13 2 2 2 2 2 2" xfId="20927" xr:uid="{00000000-0005-0000-0000-0000B2600000}"/>
    <cellStyle name="Normal 13 2 2 2 2 3" xfId="27201" xr:uid="{00000000-0005-0000-0000-0000B3600000}"/>
    <cellStyle name="Normal 13 2 2 2 3" xfId="23781" xr:uid="{00000000-0005-0000-0000-0000B4600000}"/>
    <cellStyle name="Normal 13 2 2 2 3 2" xfId="19731" xr:uid="{00000000-0005-0000-0000-0000B5600000}"/>
    <cellStyle name="Normal 13 2 2 2 4" xfId="23820" xr:uid="{00000000-0005-0000-0000-0000B6600000}"/>
    <cellStyle name="Normal 13 2 2 3" xfId="3716" xr:uid="{00000000-0005-0000-0000-0000B7600000}"/>
    <cellStyle name="Normal 13 2 2 3 2" xfId="27205" xr:uid="{00000000-0005-0000-0000-0000B8600000}"/>
    <cellStyle name="Normal 13 2 2 3 2 2" xfId="19932" xr:uid="{00000000-0005-0000-0000-0000B9600000}"/>
    <cellStyle name="Normal 13 2 2 3 3" xfId="8767" xr:uid="{00000000-0005-0000-0000-0000BA600000}"/>
    <cellStyle name="Normal 13 2 2 4" xfId="19430" xr:uid="{00000000-0005-0000-0000-0000BB600000}"/>
    <cellStyle name="Normal 13 2 2 4 2" xfId="26258" xr:uid="{00000000-0005-0000-0000-0000BC600000}"/>
    <cellStyle name="Normal 13 2 2 5" xfId="29478" xr:uid="{00000000-0005-0000-0000-0000BD600000}"/>
    <cellStyle name="Normal 13 2 3" xfId="27060" xr:uid="{00000000-0005-0000-0000-0000BE600000}"/>
    <cellStyle name="Normal 13 2 3 2" xfId="29753" xr:uid="{00000000-0005-0000-0000-0000BF600000}"/>
    <cellStyle name="Normal 13 2 3 2 2" xfId="26265" xr:uid="{00000000-0005-0000-0000-0000C0600000}"/>
    <cellStyle name="Normal 13 2 3 2 2 2" xfId="13106" xr:uid="{00000000-0005-0000-0000-0000C1600000}"/>
    <cellStyle name="Normal 13 2 3 2 3" xfId="19827" xr:uid="{00000000-0005-0000-0000-0000C2600000}"/>
    <cellStyle name="Normal 13 2 3 3" xfId="27351" xr:uid="{00000000-0005-0000-0000-0000C3600000}"/>
    <cellStyle name="Normal 13 2 3 3 2" xfId="28991" xr:uid="{00000000-0005-0000-0000-0000C4600000}"/>
    <cellStyle name="Normal 13 2 3 4" xfId="21603" xr:uid="{00000000-0005-0000-0000-0000C5600000}"/>
    <cellStyle name="Normal 13 2 4" xfId="26105" xr:uid="{00000000-0005-0000-0000-0000C6600000}"/>
    <cellStyle name="Normal 13 2 4 2" xfId="27210" xr:uid="{00000000-0005-0000-0000-0000C7600000}"/>
    <cellStyle name="Normal 13 2 4 2 2" xfId="1545" xr:uid="{00000000-0005-0000-0000-0000C8600000}"/>
    <cellStyle name="Normal 13 2 4 3" xfId="27211" xr:uid="{00000000-0005-0000-0000-0000C9600000}"/>
    <cellStyle name="Normal 13 2 5" xfId="26113" xr:uid="{00000000-0005-0000-0000-0000CA600000}"/>
    <cellStyle name="Normal 13 2 5 2" xfId="27212" xr:uid="{00000000-0005-0000-0000-0000CB600000}"/>
    <cellStyle name="Normal 13 2 6" xfId="11352" xr:uid="{00000000-0005-0000-0000-0000CC600000}"/>
    <cellStyle name="Normal 13 3" xfId="1022" xr:uid="{00000000-0005-0000-0000-0000CD600000}"/>
    <cellStyle name="Normal 13 3 2" xfId="20835" xr:uid="{00000000-0005-0000-0000-0000CE600000}"/>
    <cellStyle name="Normal 13 3 2 2" xfId="30027" xr:uid="{00000000-0005-0000-0000-0000CF600000}"/>
    <cellStyle name="Normal 13 3 2 2 2" xfId="31804" xr:uid="{00000000-0005-0000-0000-0000D0600000}"/>
    <cellStyle name="Normal 13 3 2 2 2 2" xfId="11392" xr:uid="{00000000-0005-0000-0000-0000D1600000}"/>
    <cellStyle name="Normal 13 3 2 2 3" xfId="24814" xr:uid="{00000000-0005-0000-0000-0000D2600000}"/>
    <cellStyle name="Normal 13 3 2 3" xfId="30043" xr:uid="{00000000-0005-0000-0000-0000D3600000}"/>
    <cellStyle name="Normal 13 3 2 3 2" xfId="30048" xr:uid="{00000000-0005-0000-0000-0000D4600000}"/>
    <cellStyle name="Normal 13 3 2 4" xfId="30053" xr:uid="{00000000-0005-0000-0000-0000D5600000}"/>
    <cellStyle name="Normal 13 3 3" xfId="27218" xr:uid="{00000000-0005-0000-0000-0000D6600000}"/>
    <cellStyle name="Normal 13 3 3 2" xfId="30093" xr:uid="{00000000-0005-0000-0000-0000D7600000}"/>
    <cellStyle name="Normal 13 3 3 2 2" xfId="17967" xr:uid="{00000000-0005-0000-0000-0000D8600000}"/>
    <cellStyle name="Normal 13 3 3 3" xfId="31011" xr:uid="{00000000-0005-0000-0000-0000D9600000}"/>
    <cellStyle name="Normal 13 3 4" xfId="26332" xr:uid="{00000000-0005-0000-0000-0000DA600000}"/>
    <cellStyle name="Normal 13 3 4 2" xfId="27220" xr:uid="{00000000-0005-0000-0000-0000DB600000}"/>
    <cellStyle name="Normal 13 3 5" xfId="26121" xr:uid="{00000000-0005-0000-0000-0000DC600000}"/>
    <cellStyle name="Normal 13 4" xfId="26232" xr:uid="{00000000-0005-0000-0000-0000DD600000}"/>
    <cellStyle name="Normal 13 4 2" xfId="6885" xr:uid="{00000000-0005-0000-0000-0000DE600000}"/>
    <cellStyle name="Normal 13 4 2 2" xfId="30187" xr:uid="{00000000-0005-0000-0000-0000DF600000}"/>
    <cellStyle name="Normal 13 4 2 2 2" xfId="30189" xr:uid="{00000000-0005-0000-0000-0000E0600000}"/>
    <cellStyle name="Normal 13 4 2 3" xfId="9518" xr:uid="{00000000-0005-0000-0000-0000E1600000}"/>
    <cellStyle name="Normal 13 4 3" xfId="27222" xr:uid="{00000000-0005-0000-0000-0000E2600000}"/>
    <cellStyle name="Normal 13 4 3 2" xfId="29987" xr:uid="{00000000-0005-0000-0000-0000E3600000}"/>
    <cellStyle name="Normal 13 4 4" xfId="29813" xr:uid="{00000000-0005-0000-0000-0000E4600000}"/>
    <cellStyle name="Normal 13 5" xfId="16025" xr:uid="{00000000-0005-0000-0000-0000E5600000}"/>
    <cellStyle name="Normal 13 5 2" xfId="33099" xr:uid="{00000000-0005-0000-0000-0000E6600000}"/>
    <cellStyle name="Normal 13 5 2 2" xfId="22610" xr:uid="{00000000-0005-0000-0000-0000E7600000}"/>
    <cellStyle name="Normal 13 5 3" xfId="22791" xr:uid="{00000000-0005-0000-0000-0000E8600000}"/>
    <cellStyle name="Normal 13 6" xfId="24143" xr:uid="{00000000-0005-0000-0000-0000E9600000}"/>
    <cellStyle name="Normal 13 6 2" xfId="27223" xr:uid="{00000000-0005-0000-0000-0000EA600000}"/>
    <cellStyle name="Normal 13 7" xfId="22814" xr:uid="{00000000-0005-0000-0000-0000EB600000}"/>
    <cellStyle name="Normal 14" xfId="31881" xr:uid="{00000000-0005-0000-0000-0000EC600000}"/>
    <cellStyle name="Normal 15 2" xfId="23037" xr:uid="{00000000-0005-0000-0000-0000EE600000}"/>
    <cellStyle name="Normal 15 2 2" xfId="27232" xr:uid="{00000000-0005-0000-0000-0000EF600000}"/>
    <cellStyle name="Normal 15 2 2 2" xfId="280" xr:uid="{00000000-0005-0000-0000-0000F0600000}"/>
    <cellStyle name="Normal 15 2 2 2 2" xfId="27556" xr:uid="{00000000-0005-0000-0000-0000F1600000}"/>
    <cellStyle name="Normal 15 2 2 2 2 2" xfId="27238" xr:uid="{00000000-0005-0000-0000-0000F2600000}"/>
    <cellStyle name="Normal 15 2 2 2 3" xfId="14052" xr:uid="{00000000-0005-0000-0000-0000F3600000}"/>
    <cellStyle name="Normal 15 2 2 3" xfId="8500" xr:uid="{00000000-0005-0000-0000-0000F4600000}"/>
    <cellStyle name="Normal 15 2 2 3 2" xfId="3619" xr:uid="{00000000-0005-0000-0000-0000F5600000}"/>
    <cellStyle name="Normal 15 2 2 4" xfId="31368" xr:uid="{00000000-0005-0000-0000-0000F6600000}"/>
    <cellStyle name="Normal 15 2 3" xfId="27241" xr:uid="{00000000-0005-0000-0000-0000F7600000}"/>
    <cellStyle name="Normal 15 2 3 2" xfId="26913" xr:uid="{00000000-0005-0000-0000-0000F8600000}"/>
    <cellStyle name="Normal 15 2 3 2 2" xfId="27544" xr:uid="{00000000-0005-0000-0000-0000F9600000}"/>
    <cellStyle name="Normal 15 2 3 3" xfId="26765" xr:uid="{00000000-0005-0000-0000-0000FA600000}"/>
    <cellStyle name="Normal 15 2 4" xfId="26134" xr:uid="{00000000-0005-0000-0000-0000FB600000}"/>
    <cellStyle name="Normal 15 2 4 2" xfId="26771" xr:uid="{00000000-0005-0000-0000-0000FC600000}"/>
    <cellStyle name="Normal 15 2 5" xfId="27251" xr:uid="{00000000-0005-0000-0000-0000FD600000}"/>
    <cellStyle name="Normal 15 3" xfId="27259" xr:uid="{00000000-0005-0000-0000-0000FE600000}"/>
    <cellStyle name="Normal 15 3 2" xfId="27280" xr:uid="{00000000-0005-0000-0000-0000FF600000}"/>
    <cellStyle name="Normal 15 3 2 2" xfId="33339" xr:uid="{00000000-0005-0000-0000-000000610000}"/>
    <cellStyle name="Normal 15 3 2 2 2" xfId="16652" xr:uid="{00000000-0005-0000-0000-000001610000}"/>
    <cellStyle name="Normal 15 3 2 3" xfId="31379" xr:uid="{00000000-0005-0000-0000-000002610000}"/>
    <cellStyle name="Normal 15 3 3" xfId="27764" xr:uid="{00000000-0005-0000-0000-000003610000}"/>
    <cellStyle name="Normal 15 3 3 2" xfId="19391" xr:uid="{00000000-0005-0000-0000-000004610000}"/>
    <cellStyle name="Normal 15 3 4" xfId="27283" xr:uid="{00000000-0005-0000-0000-000005610000}"/>
    <cellStyle name="Normal 15 4" xfId="27285" xr:uid="{00000000-0005-0000-0000-000006610000}"/>
    <cellStyle name="Normal 15 4 2" xfId="27287" xr:uid="{00000000-0005-0000-0000-000007610000}"/>
    <cellStyle name="Normal 15 4 2 2" xfId="15419" xr:uid="{00000000-0005-0000-0000-000008610000}"/>
    <cellStyle name="Normal 15 4 3" xfId="27289" xr:uid="{00000000-0005-0000-0000-000009610000}"/>
    <cellStyle name="Normal 15 5" xfId="16053" xr:uid="{00000000-0005-0000-0000-00000A610000}"/>
    <cellStyle name="Normal 15 5 2" xfId="33614" xr:uid="{00000000-0005-0000-0000-00000B610000}"/>
    <cellStyle name="Normal 15 6" xfId="27294" xr:uid="{00000000-0005-0000-0000-00000C610000}"/>
    <cellStyle name="Normal 16" xfId="32582" xr:uid="{00000000-0005-0000-0000-00000D610000}"/>
    <cellStyle name="Normal 17" xfId="30104" xr:uid="{00000000-0005-0000-0000-00000E610000}"/>
    <cellStyle name="Normal 17 2" xfId="28364" xr:uid="{00000000-0005-0000-0000-00000F610000}"/>
    <cellStyle name="Normal 17 2 2" xfId="25623" xr:uid="{00000000-0005-0000-0000-000010610000}"/>
    <cellStyle name="Normal 17 2 2 2" xfId="22764" xr:uid="{00000000-0005-0000-0000-000011610000}"/>
    <cellStyle name="Normal 17 2 2 2 2" xfId="1065" xr:uid="{00000000-0005-0000-0000-000012610000}"/>
    <cellStyle name="Normal 17 2 2 3" xfId="27450" xr:uid="{00000000-0005-0000-0000-000013610000}"/>
    <cellStyle name="Normal 17 2 3" xfId="22778" xr:uid="{00000000-0005-0000-0000-000014610000}"/>
    <cellStyle name="Normal 17 2 3 2" xfId="22509" xr:uid="{00000000-0005-0000-0000-000015610000}"/>
    <cellStyle name="Normal 17 2 4" xfId="27895" xr:uid="{00000000-0005-0000-0000-000016610000}"/>
    <cellStyle name="Normal 17 3" xfId="20244" xr:uid="{00000000-0005-0000-0000-000017610000}"/>
    <cellStyle name="Normal 17 3 2" xfId="1245" xr:uid="{00000000-0005-0000-0000-000018610000}"/>
    <cellStyle name="Normal 17 3 2 2" xfId="5180" xr:uid="{00000000-0005-0000-0000-000019610000}"/>
    <cellStyle name="Normal 17 3 3" xfId="20762" xr:uid="{00000000-0005-0000-0000-00001A610000}"/>
    <cellStyle name="Normal 17 4" xfId="28784" xr:uid="{00000000-0005-0000-0000-00001B610000}"/>
    <cellStyle name="Normal 17 4 2" xfId="20801" xr:uid="{00000000-0005-0000-0000-00001C610000}"/>
    <cellStyle name="Normal 17 5" xfId="27307" xr:uid="{00000000-0005-0000-0000-00001D610000}"/>
    <cellStyle name="Normal 18" xfId="3010" xr:uid="{00000000-0005-0000-0000-00001E610000}"/>
    <cellStyle name="Normal 19" xfId="22923" xr:uid="{00000000-0005-0000-0000-00001F610000}"/>
    <cellStyle name="Normal 19 2" xfId="27972" xr:uid="{00000000-0005-0000-0000-000020610000}"/>
    <cellStyle name="Normal 19 2 2" xfId="13473" xr:uid="{00000000-0005-0000-0000-000021610000}"/>
    <cellStyle name="Normal 19 2 2 2" xfId="21113" xr:uid="{00000000-0005-0000-0000-000022610000}"/>
    <cellStyle name="Normal 19 2 3" xfId="9807" xr:uid="{00000000-0005-0000-0000-000023610000}"/>
    <cellStyle name="Normal 19 3" xfId="25545" xr:uid="{00000000-0005-0000-0000-000024610000}"/>
    <cellStyle name="Normal 19 3 2" xfId="13489" xr:uid="{00000000-0005-0000-0000-000025610000}"/>
    <cellStyle name="Normal 19 4" xfId="27651" xr:uid="{00000000-0005-0000-0000-000026610000}"/>
    <cellStyle name="Normal 2" xfId="27311" xr:uid="{00000000-0005-0000-0000-000027610000}"/>
    <cellStyle name="Normal 2 2" xfId="27312" xr:uid="{00000000-0005-0000-0000-000028610000}"/>
    <cellStyle name="Normal 2 2 2" xfId="27313" xr:uid="{00000000-0005-0000-0000-000029610000}"/>
    <cellStyle name="Normal 2 3" xfId="16859" xr:uid="{00000000-0005-0000-0000-00002A610000}"/>
    <cellStyle name="Normal 2 3 2" xfId="16862" xr:uid="{00000000-0005-0000-0000-00002B610000}"/>
    <cellStyle name="Normal 2 4" xfId="20826" xr:uid="{00000000-0005-0000-0000-00002C610000}"/>
    <cellStyle name="Normal 20" xfId="31644" xr:uid="{00000000-0005-0000-0000-00002D610000}"/>
    <cellStyle name="Normal 20 2" xfId="23038" xr:uid="{00000000-0005-0000-0000-00002E610000}"/>
    <cellStyle name="Normal 20 2 2" xfId="27233" xr:uid="{00000000-0005-0000-0000-00002F610000}"/>
    <cellStyle name="Normal 20 3" xfId="27260" xr:uid="{00000000-0005-0000-0000-000030610000}"/>
    <cellStyle name="Normal 21" xfId="32583" xr:uid="{00000000-0005-0000-0000-000031610000}"/>
    <cellStyle name="Normal 21 2" xfId="21492" xr:uid="{00000000-0005-0000-0000-000032610000}"/>
    <cellStyle name="Normal 22" xfId="30105" xr:uid="{00000000-0005-0000-0000-000033610000}"/>
    <cellStyle name="Normal 23" xfId="3011" xr:uid="{00000000-0005-0000-0000-000034610000}"/>
    <cellStyle name="Normal 24" xfId="22922" xr:uid="{00000000-0005-0000-0000-000035610000}"/>
    <cellStyle name="Normal 25" xfId="22927" xr:uid="{00000000-0005-0000-0000-000036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1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8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3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6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7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2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4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8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7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4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1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39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8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1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8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599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0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1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6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2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7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8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6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2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3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4" xr:uid="{00000000-0005-0000-0000-00001D660000}"/>
    <cellStyle name="Normal 3 2 8 7" xfId="22456" xr:uid="{00000000-0005-0000-0000-00001E660000}"/>
    <cellStyle name="Normal 3 2 8 7 2" xfId="32634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6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5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6" xr:uid="{00000000-0005-0000-0000-000053660000}"/>
    <cellStyle name="Normal 3 3 2 2 2 2 2 5" xfId="17122" xr:uid="{00000000-0005-0000-0000-000054660000}"/>
    <cellStyle name="Normal 3 3 2 2 2 2 3" xfId="33351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3" xr:uid="{00000000-0005-0000-0000-000064660000}"/>
    <cellStyle name="Normal 3 3 2 2 2 3 2" xfId="33535" xr:uid="{00000000-0005-0000-0000-000065660000}"/>
    <cellStyle name="Normal 3 3 2 2 2 3 2 2" xfId="33865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8" xr:uid="{00000000-0005-0000-0000-000076660000}"/>
    <cellStyle name="Normal 3 3 2 2 2 4 2 2 2" xfId="26479" xr:uid="{00000000-0005-0000-0000-000077660000}"/>
    <cellStyle name="Normal 3 3 2 2 2 4 2 3" xfId="31749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4" xr:uid="{00000000-0005-0000-0000-000084660000}"/>
    <cellStyle name="Normal 3 3 2 2 3 2 2" xfId="33556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1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5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1" xr:uid="{00000000-0005-0000-0000-0000A4660000}"/>
    <cellStyle name="Normal 3 3 2 2 4 2 2" xfId="33983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5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6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4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3" xr:uid="{00000000-0005-0000-0000-0000DD660000}"/>
    <cellStyle name="Normal 3 3 2 3 2 4 2 2" xfId="32115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7" xr:uid="{00000000-0005-0000-0000-0000E2660000}"/>
    <cellStyle name="Normal 3 3 2 3 3" xfId="32767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0" xr:uid="{00000000-0005-0000-0000-0000ED660000}"/>
    <cellStyle name="Normal 3 3 2 3 3 3 2 2" xfId="33799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8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0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6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3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6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59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8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2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5" xr:uid="{00000000-0005-0000-0000-00002C670000}"/>
    <cellStyle name="Normal 3 3 2 5 3 2 2" xfId="9313" xr:uid="{00000000-0005-0000-0000-00002D670000}"/>
    <cellStyle name="Normal 3 3 2 5 3 3" xfId="31828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3" xr:uid="{00000000-0005-0000-0000-000033670000}"/>
    <cellStyle name="Normal 3 3 2 6 2 2" xfId="31988" xr:uid="{00000000-0005-0000-0000-000034670000}"/>
    <cellStyle name="Normal 3 3 2 6 2 2 2" xfId="28252" xr:uid="{00000000-0005-0000-0000-000035670000}"/>
    <cellStyle name="Normal 3 3 2 6 2 3" xfId="33504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4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3" xr:uid="{00000000-0005-0000-0000-000054670000}"/>
    <cellStyle name="Normal 3 3 3 2 2 3 2" xfId="23334" xr:uid="{00000000-0005-0000-0000-000055670000}"/>
    <cellStyle name="Normal 3 3 3 2 2 3 2 2" xfId="32390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6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5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19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5" xr:uid="{00000000-0005-0000-0000-000088670000}"/>
    <cellStyle name="Normal 3 3 3 3 2 2 3" xfId="33000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1" xr:uid="{00000000-0005-0000-0000-00008D670000}"/>
    <cellStyle name="Normal 3 3 3 3 2 3 2 2" xfId="28350" xr:uid="{00000000-0005-0000-0000-00008E670000}"/>
    <cellStyle name="Normal 3 3 3 3 2 3 3" xfId="32125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2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1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3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1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2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3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2" xr:uid="{00000000-0005-0000-0000-0000C8670000}"/>
    <cellStyle name="Normal 3 3 4 2 2 2 3" xfId="22104" xr:uid="{00000000-0005-0000-0000-0000C9670000}"/>
    <cellStyle name="Normal 3 3 4 2 2 2 3 2" xfId="33549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49" xr:uid="{00000000-0005-0000-0000-0000CD670000}"/>
    <cellStyle name="Normal 3 3 4 2 2 3 2 2" xfId="33356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2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7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699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3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6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3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0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0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2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3" xr:uid="{00000000-0005-0000-0000-000062680000}"/>
    <cellStyle name="Normal 3 4 2 2 3 2" xfId="31947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4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2" xr:uid="{00000000-0005-0000-0000-000071680000}"/>
    <cellStyle name="Normal 3 4 2 2 4" xfId="32783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5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3" xr:uid="{00000000-0005-0000-0000-000082680000}"/>
    <cellStyle name="Normal 3 4 2 3 2 2" xfId="33241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1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1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6" xr:uid="{00000000-0005-0000-0000-000098680000}"/>
    <cellStyle name="Normal 3 4 2 3 3 4" xfId="32943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0" xr:uid="{00000000-0005-0000-0000-0000A6680000}"/>
    <cellStyle name="Normal 3 4 2 4 2 3" xfId="33240" xr:uid="{00000000-0005-0000-0000-0000A7680000}"/>
    <cellStyle name="Normal 3 4 2 4 2 3 2" xfId="31933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6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2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0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3" xr:uid="{00000000-0005-0000-0000-0000E6680000}"/>
    <cellStyle name="Normal 3 4 3 3 2 3" xfId="32020" xr:uid="{00000000-0005-0000-0000-0000E7680000}"/>
    <cellStyle name="Normal 3 4 3 3 2 3 2" xfId="32209" xr:uid="{00000000-0005-0000-0000-0000E8680000}"/>
    <cellStyle name="Normal 3 4 3 3 2 4" xfId="32030" xr:uid="{00000000-0005-0000-0000-0000E9680000}"/>
    <cellStyle name="Normal 3 4 3 3 3" xfId="32233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7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5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6" xr:uid="{00000000-0005-0000-0000-0000F7680000}"/>
    <cellStyle name="Normal 3 4 3 4 4" xfId="27264" xr:uid="{00000000-0005-0000-0000-0000F8680000}"/>
    <cellStyle name="Normal 3 4 3 5" xfId="32273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5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1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6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39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5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8" xr:uid="{00000000-0005-0000-0000-000066690000}"/>
    <cellStyle name="Normal 3 5 2 3 2 3" xfId="30557" xr:uid="{00000000-0005-0000-0000-000067690000}"/>
    <cellStyle name="Normal 3 5 2 3 2 3 2" xfId="31889" xr:uid="{00000000-0005-0000-0000-000068690000}"/>
    <cellStyle name="Normal 3 5 2 3 2 4" xfId="33532" xr:uid="{00000000-0005-0000-0000-000069690000}"/>
    <cellStyle name="Normal 3 5 2 3 3" xfId="31645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3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3" xr:uid="{00000000-0005-0000-0000-000092690000}"/>
    <cellStyle name="Normal 3 5 3 3 2 2" xfId="33992" xr:uid="{00000000-0005-0000-0000-000093690000}"/>
    <cellStyle name="Normal 3 5 3 3 2 2 2" xfId="11089" xr:uid="{00000000-0005-0000-0000-000094690000}"/>
    <cellStyle name="Normal 3 5 3 3 2 3" xfId="32621" xr:uid="{00000000-0005-0000-0000-000095690000}"/>
    <cellStyle name="Normal 3 5 3 3 3" xfId="33826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2" xr:uid="{00000000-0005-0000-0000-000099690000}"/>
    <cellStyle name="Normal 3 5 3 4 2" xfId="32673" xr:uid="{00000000-0005-0000-0000-00009A690000}"/>
    <cellStyle name="Normal 3 5 3 4 2 2" xfId="33651" xr:uid="{00000000-0005-0000-0000-00009B690000}"/>
    <cellStyle name="Normal 3 5 3 4 3" xfId="32686" xr:uid="{00000000-0005-0000-0000-00009C690000}"/>
    <cellStyle name="Normal 3 5 3 5" xfId="32324" xr:uid="{00000000-0005-0000-0000-00009D690000}"/>
    <cellStyle name="Normal 3 5 3 5 2" xfId="4788" xr:uid="{00000000-0005-0000-0000-00009E690000}"/>
    <cellStyle name="Normal 3 5 3 6" xfId="32334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1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0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2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1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1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1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89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2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6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69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49" xr:uid="{00000000-0005-0000-0000-00006F6A0000}"/>
    <cellStyle name="Normal 4 10 4 2" xfId="31711" xr:uid="{00000000-0005-0000-0000-0000706A0000}"/>
    <cellStyle name="Normal 4 10 5" xfId="31719" xr:uid="{00000000-0005-0000-0000-0000716A0000}"/>
    <cellStyle name="Normal 4 10 5 2" xfId="32710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1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0" xr:uid="{00000000-0005-0000-0000-0000856A0000}"/>
    <cellStyle name="Normal 4 11 3 2" xfId="28815" xr:uid="{00000000-0005-0000-0000-0000866A0000}"/>
    <cellStyle name="Normal 4 11 4" xfId="32957" xr:uid="{00000000-0005-0000-0000-0000876A0000}"/>
    <cellStyle name="Normal 4 11 4 2" xfId="33470" xr:uid="{00000000-0005-0000-0000-0000886A0000}"/>
    <cellStyle name="Normal 4 11 5" xfId="31734" xr:uid="{00000000-0005-0000-0000-0000896A0000}"/>
    <cellStyle name="Normal 4 11 5 2" xfId="33385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0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0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1" xr:uid="{00000000-0005-0000-0000-0000C36A0000}"/>
    <cellStyle name="Normal 4 14 3 2" xfId="32532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39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4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6" xr:uid="{00000000-0005-0000-0000-0000EB6A0000}"/>
    <cellStyle name="Normal 4 2 10 2" xfId="32535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2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0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3" xr:uid="{00000000-0005-0000-0000-0000166B0000}"/>
    <cellStyle name="Normal 4 2 12 5 2" xfId="31938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8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0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1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8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0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1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5" xr:uid="{00000000-0005-0000-0000-0000776B0000}"/>
    <cellStyle name="Normal 4 2 5 2 6" xfId="32656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0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2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1" xr:uid="{00000000-0005-0000-0000-0000996B0000}"/>
    <cellStyle name="Normal 4 2 6 6 2" xfId="23871" xr:uid="{00000000-0005-0000-0000-00009A6B0000}"/>
    <cellStyle name="Normal 4 2 6 7" xfId="33526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5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7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4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8" xr:uid="{00000000-0005-0000-0000-0000D66B0000}"/>
    <cellStyle name="Normal 4 2 9 2 5 2" xfId="29098" xr:uid="{00000000-0005-0000-0000-0000D76B0000}"/>
    <cellStyle name="Normal 4 2 9 2 6" xfId="33320" xr:uid="{00000000-0005-0000-0000-0000D86B0000}"/>
    <cellStyle name="Normal 4 2 9 2 6 2" xfId="32512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5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2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3" xr:uid="{00000000-0005-0000-0000-0000F96B0000}"/>
    <cellStyle name="Normal 4 3 3" xfId="33364" xr:uid="{00000000-0005-0000-0000-0000FA6B0000}"/>
    <cellStyle name="Normal 4 3 3 2" xfId="33479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2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6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8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5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7" xr:uid="{00000000-0005-0000-0000-00003D6C0000}"/>
    <cellStyle name="Normal 4 6 2 5 2" xfId="10808" xr:uid="{00000000-0005-0000-0000-00003E6C0000}"/>
    <cellStyle name="Normal 4 6 2 6" xfId="33257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1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29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4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3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4" xr:uid="{00000000-0005-0000-0000-00009A6C0000}"/>
    <cellStyle name="Normal 5 10 2 3 2" xfId="31835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1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3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1" xr:uid="{00000000-0005-0000-0000-0000BB6C0000}"/>
    <cellStyle name="Normal 5 11 3 2" xfId="24230" xr:uid="{00000000-0005-0000-0000-0000BC6C0000}"/>
    <cellStyle name="Normal 5 11 4" xfId="33461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5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6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6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8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1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8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2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59" xr:uid="{00000000-0005-0000-0000-0000216D0000}"/>
    <cellStyle name="Normal 5 2 10 2" xfId="33892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8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0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6" xr:uid="{00000000-0005-0000-0000-0000416D0000}"/>
    <cellStyle name="Normal 5 2 11 6" xfId="32362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4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7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3" xr:uid="{00000000-0005-0000-0000-0000AD6D0000}"/>
    <cellStyle name="Normal 5 2 2 2 3 2 5" xfId="33944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3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4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4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4" xr:uid="{00000000-0005-0000-0000-0000ED6D0000}"/>
    <cellStyle name="Normal 5 2 2 3 2 2 5" xfId="33683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4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4" xr:uid="{00000000-0005-0000-0000-0000266E0000}"/>
    <cellStyle name="Normal 5 2 2 4 2 3" xfId="29640" xr:uid="{00000000-0005-0000-0000-0000276E0000}"/>
    <cellStyle name="Normal 5 2 2 4 2 3 2" xfId="31958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099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3" xr:uid="{00000000-0005-0000-0000-0000846E0000}"/>
    <cellStyle name="Normal 5 2 3 2 3 2 3 2" xfId="31051" xr:uid="{00000000-0005-0000-0000-0000856E0000}"/>
    <cellStyle name="Normal 5 2 3 2 3 2 4" xfId="32021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1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2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7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3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8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4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4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2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8" xr:uid="{00000000-0005-0000-0000-00005A6F0000}"/>
    <cellStyle name="Normal 5 2 6 4" xfId="7108" xr:uid="{00000000-0005-0000-0000-00005B6F0000}"/>
    <cellStyle name="Normal 5 2 6 4 2" xfId="32723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3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8" xr:uid="{00000000-0005-0000-0000-0000686F0000}"/>
    <cellStyle name="Normal 5 2 7 2 3 2" xfId="22154" xr:uid="{00000000-0005-0000-0000-0000696F0000}"/>
    <cellStyle name="Normal 5 2 7 2 4" xfId="33635" xr:uid="{00000000-0005-0000-0000-00006A6F0000}"/>
    <cellStyle name="Normal 5 2 7 2 4 2" xfId="22159" xr:uid="{00000000-0005-0000-0000-00006B6F0000}"/>
    <cellStyle name="Normal 5 2 7 2 5" xfId="33171" xr:uid="{00000000-0005-0000-0000-00006C6F0000}"/>
    <cellStyle name="Normal 5 2 7 2 5 2" xfId="33976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7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1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2" xr:uid="{00000000-0005-0000-0000-00007E6F0000}"/>
    <cellStyle name="Normal 5 2 8 2 2 2" xfId="22429" xr:uid="{00000000-0005-0000-0000-00007F6F0000}"/>
    <cellStyle name="Normal 5 2 8 2 3" xfId="33660" xr:uid="{00000000-0005-0000-0000-0000806F0000}"/>
    <cellStyle name="Normal 5 2 8 2 3 2" xfId="22445" xr:uid="{00000000-0005-0000-0000-0000816F0000}"/>
    <cellStyle name="Normal 5 2 8 2 4" xfId="33819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7" xr:uid="{00000000-0005-0000-0000-0000896F0000}"/>
    <cellStyle name="Normal 5 2 8 3 2" xfId="32618" xr:uid="{00000000-0005-0000-0000-00008A6F0000}"/>
    <cellStyle name="Normal 5 2 8 4" xfId="29902" xr:uid="{00000000-0005-0000-0000-00008B6F0000}"/>
    <cellStyle name="Normal 5 2 8 4 2" xfId="32645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1" xr:uid="{00000000-0005-0000-0000-0000A26F0000}"/>
    <cellStyle name="Normal 5 2 9 4" xfId="29927" xr:uid="{00000000-0005-0000-0000-0000A36F0000}"/>
    <cellStyle name="Normal 5 2 9 4 2" xfId="32122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19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19" xr:uid="{00000000-0005-0000-0000-0000F26F0000}"/>
    <cellStyle name="Normal 5 3 2 3" xfId="32391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09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3" xr:uid="{00000000-0005-0000-0000-000025700000}"/>
    <cellStyle name="Normal 5 3 2 5 2 2 2" xfId="32202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7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5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3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8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5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2" xr:uid="{00000000-0005-0000-0000-00005A700000}"/>
    <cellStyle name="Normal 5 3 3 3 2 4" xfId="21155" xr:uid="{00000000-0005-0000-0000-00005B700000}"/>
    <cellStyle name="Normal 5 3 3 3 3" xfId="32770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2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0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0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7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5" xr:uid="{00000000-0005-0000-0000-000081700000}"/>
    <cellStyle name="Normal 5 3 4 2 5" xfId="32747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5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6" xr:uid="{00000000-0005-0000-0000-00008E700000}"/>
    <cellStyle name="Normal 5 3 4 5" xfId="6240" xr:uid="{00000000-0005-0000-0000-00008F700000}"/>
    <cellStyle name="Normal 5 3 4 5 2" xfId="33598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1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7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7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6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0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89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29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4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0" xr:uid="{00000000-0005-0000-0000-000055710000}"/>
    <cellStyle name="Normal 5 5 3 2 2" xfId="33700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8" xr:uid="{00000000-0005-0000-0000-00005D710000}"/>
    <cellStyle name="Normal 5 5 3 3 2" xfId="32529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6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1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3" xr:uid="{00000000-0005-0000-0000-000089710000}"/>
    <cellStyle name="Normal 5 6 3" xfId="6107" xr:uid="{00000000-0005-0000-0000-00008A710000}"/>
    <cellStyle name="Normal 5 6 3 2" xfId="33471" xr:uid="{00000000-0005-0000-0000-00008B710000}"/>
    <cellStyle name="Normal 5 6 3 2 2" xfId="32008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6" xr:uid="{00000000-0005-0000-0000-00009B710000}"/>
    <cellStyle name="Normal 5 6 8" xfId="21448" xr:uid="{00000000-0005-0000-0000-00009C710000}"/>
    <cellStyle name="Normal 5 7" xfId="33387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1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4" xr:uid="{00000000-0005-0000-0000-0000A8710000}"/>
    <cellStyle name="Normal 5 7 2 6" xfId="32329" xr:uid="{00000000-0005-0000-0000-0000A9710000}"/>
    <cellStyle name="Normal 5 7 2 6 2" xfId="20075" xr:uid="{00000000-0005-0000-0000-0000AA710000}"/>
    <cellStyle name="Normal 5 7 2 7" xfId="33734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3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5" xr:uid="{00000000-0005-0000-0000-0000C3710000}"/>
    <cellStyle name="Normal 5 8 2 6 2" xfId="31795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5" xr:uid="{00000000-0005-0000-0000-0000D9710000}"/>
    <cellStyle name="Normal 5 9 2 5 2" xfId="32029" xr:uid="{00000000-0005-0000-0000-0000DA710000}"/>
    <cellStyle name="Normal 5 9 2 6" xfId="11501" xr:uid="{00000000-0005-0000-0000-0000DB710000}"/>
    <cellStyle name="Normal 5 9 2 6 2" xfId="33475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4" xr:uid="{00000000-0005-0000-0000-0000E9710000}"/>
    <cellStyle name="Normal 6 2" xfId="32701" xr:uid="{00000000-0005-0000-0000-0000EA710000}"/>
    <cellStyle name="Normal 7" xfId="32699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0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09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4" xr:uid="{00000000-0005-0000-0000-000028720000}"/>
    <cellStyle name="Normal 7 2 2 2 5 2" xfId="30490" xr:uid="{00000000-0005-0000-0000-000029720000}"/>
    <cellStyle name="Normal 7 2 2 2 5 2 2" xfId="32154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2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2" xr:uid="{00000000-0005-0000-0000-000033720000}"/>
    <cellStyle name="Normal 7 2 2 3 2 2 2 2 2" xfId="33331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8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5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8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5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89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8" xr:uid="{00000000-0005-0000-0000-00005B720000}"/>
    <cellStyle name="Normal 7 2 2 4 4" xfId="28240" xr:uid="{00000000-0005-0000-0000-00005C720000}"/>
    <cellStyle name="Normal 7 2 2 4 4 2" xfId="31712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7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5" xr:uid="{00000000-0005-0000-0000-000065720000}"/>
    <cellStyle name="Normal 7 2 2 5 4" xfId="33165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8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6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1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0" xr:uid="{00000000-0005-0000-0000-00008A720000}"/>
    <cellStyle name="Normal 7 2 3 2 4 3" xfId="9840" xr:uid="{00000000-0005-0000-0000-00008B720000}"/>
    <cellStyle name="Normal 7 2 3 2 5" xfId="33202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5" xr:uid="{00000000-0005-0000-0000-000092720000}"/>
    <cellStyle name="Normal 7 2 3 3 2 2 2 2" xfId="33407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1" xr:uid="{00000000-0005-0000-0000-00009A720000}"/>
    <cellStyle name="Normal 7 2 3 3 3 3" xfId="33117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0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3" xr:uid="{00000000-0005-0000-0000-0000A7720000}"/>
    <cellStyle name="Normal 7 2 3 5 2" xfId="15914" xr:uid="{00000000-0005-0000-0000-0000A8720000}"/>
    <cellStyle name="Normal 7 2 3 5 2 2" xfId="33600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7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6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1" xr:uid="{00000000-0005-0000-0000-0000BA720000}"/>
    <cellStyle name="Normal 7 2 4 2 3 3" xfId="3436" xr:uid="{00000000-0005-0000-0000-0000BB720000}"/>
    <cellStyle name="Normal 7 2 4 2 4" xfId="33348" xr:uid="{00000000-0005-0000-0000-0000BC720000}"/>
    <cellStyle name="Normal 7 2 4 2 4 2" xfId="11236" xr:uid="{00000000-0005-0000-0000-0000BD720000}"/>
    <cellStyle name="Normal 7 2 4 2 5" xfId="33616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4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6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5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3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2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6" xr:uid="{00000000-0005-0000-0000-0000E2720000}"/>
    <cellStyle name="Normal 7 2 6 3" xfId="33425" xr:uid="{00000000-0005-0000-0000-0000E3720000}"/>
    <cellStyle name="Normal 7 2 6 3 2" xfId="22008" xr:uid="{00000000-0005-0000-0000-0000E4720000}"/>
    <cellStyle name="Normal 7 2 6 4" xfId="33472" xr:uid="{00000000-0005-0000-0000-0000E5720000}"/>
    <cellStyle name="Normal 7 2 7" xfId="15422" xr:uid="{00000000-0005-0000-0000-0000E6720000}"/>
    <cellStyle name="Normal 7 2 7 2" xfId="33429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7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2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1" xr:uid="{00000000-0005-0000-0000-000004730000}"/>
    <cellStyle name="Normal 7 3 2 2 3 3" xfId="30581" xr:uid="{00000000-0005-0000-0000-000005730000}"/>
    <cellStyle name="Normal 7 3 2 2 3 3 2" xfId="33272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0" xr:uid="{00000000-0005-0000-0000-000010730000}"/>
    <cellStyle name="Normal 7 3 2 3 2 2" xfId="33449" xr:uid="{00000000-0005-0000-0000-000011730000}"/>
    <cellStyle name="Normal 7 3 2 3 2 2 2" xfId="1695" xr:uid="{00000000-0005-0000-0000-000012730000}"/>
    <cellStyle name="Normal 7 3 2 3 2 2 2 2" xfId="32085" xr:uid="{00000000-0005-0000-0000-000013730000}"/>
    <cellStyle name="Normal 7 3 2 3 2 2 3" xfId="2398" xr:uid="{00000000-0005-0000-0000-000014730000}"/>
    <cellStyle name="Normal 7 3 2 3 2 3" xfId="32749" xr:uid="{00000000-0005-0000-0000-000015730000}"/>
    <cellStyle name="Normal 7 3 2 3 2 3 2" xfId="33850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8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6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3" xr:uid="{00000000-0005-0000-0000-000030730000}"/>
    <cellStyle name="Normal 7 3 3 2 2 2" xfId="33392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8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4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6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2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3" xr:uid="{00000000-0005-0000-0000-000051730000}"/>
    <cellStyle name="Normal 7 3 4 2 2 2 2" xfId="27829" xr:uid="{00000000-0005-0000-0000-000052730000}"/>
    <cellStyle name="Normal 7 3 4 2 2 3" xfId="33636" xr:uid="{00000000-0005-0000-0000-000053730000}"/>
    <cellStyle name="Normal 7 3 4 2 3" xfId="33054" xr:uid="{00000000-0005-0000-0000-000054730000}"/>
    <cellStyle name="Normal 7 3 4 2 3 2" xfId="11287" xr:uid="{00000000-0005-0000-0000-000055730000}"/>
    <cellStyle name="Normal 7 3 4 2 4" xfId="33717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8" xr:uid="{00000000-0005-0000-0000-00005B730000}"/>
    <cellStyle name="Normal 7 3 4 4 2" xfId="10850" xr:uid="{00000000-0005-0000-0000-00005C730000}"/>
    <cellStyle name="Normal 7 3 4 5" xfId="33193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8" xr:uid="{00000000-0005-0000-0000-000060730000}"/>
    <cellStyle name="Normal 7 3 5 2 2 2" xfId="28425" xr:uid="{00000000-0005-0000-0000-000061730000}"/>
    <cellStyle name="Normal 7 3 5 2 3" xfId="32103" xr:uid="{00000000-0005-0000-0000-000062730000}"/>
    <cellStyle name="Normal 7 3 5 3" xfId="33281" xr:uid="{00000000-0005-0000-0000-000063730000}"/>
    <cellStyle name="Normal 7 3 5 3 2" xfId="23463" xr:uid="{00000000-0005-0000-0000-000064730000}"/>
    <cellStyle name="Normal 7 3 5 4" xfId="33630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6" xr:uid="{00000000-0005-0000-0000-000068730000}"/>
    <cellStyle name="Normal 7 3 6 3" xfId="32960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6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6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6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0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5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19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0" xr:uid="{00000000-0005-0000-0000-0000B1730000}"/>
    <cellStyle name="Normal 7 5 2 2 2 2 2" xfId="32604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7" xr:uid="{00000000-0005-0000-0000-0000B6730000}"/>
    <cellStyle name="Normal 7 5 2 3" xfId="33917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59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8" xr:uid="{00000000-0005-0000-0000-0000BF730000}"/>
    <cellStyle name="Normal 7 5 3 2 2" xfId="33464" xr:uid="{00000000-0005-0000-0000-0000C0730000}"/>
    <cellStyle name="Normal 7 5 3 2 2 2" xfId="33854" xr:uid="{00000000-0005-0000-0000-0000C1730000}"/>
    <cellStyle name="Normal 7 5 3 2 3" xfId="31361" xr:uid="{00000000-0005-0000-0000-0000C2730000}"/>
    <cellStyle name="Normal 7 5 3 3" xfId="32558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7" xr:uid="{00000000-0005-0000-0000-0000C7730000}"/>
    <cellStyle name="Normal 7 5 4 2 2" xfId="33907" xr:uid="{00000000-0005-0000-0000-0000C8730000}"/>
    <cellStyle name="Normal 7 5 4 3" xfId="30675" xr:uid="{00000000-0005-0000-0000-0000C9730000}"/>
    <cellStyle name="Normal 7 5 5" xfId="32111" xr:uid="{00000000-0005-0000-0000-0000CA730000}"/>
    <cellStyle name="Normal 7 5 5 2" xfId="33959" xr:uid="{00000000-0005-0000-0000-0000CB730000}"/>
    <cellStyle name="Normal 7 5 6" xfId="30682" xr:uid="{00000000-0005-0000-0000-0000CC730000}"/>
    <cellStyle name="Normal 7 6" xfId="32932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1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2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2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1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8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5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3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7" xr:uid="{00000000-0005-0000-0000-00001F740000}"/>
    <cellStyle name="Normal 9 2 2 3 5" xfId="32332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6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0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6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3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8" xr:uid="{00000000-0005-0000-0000-000069740000}"/>
    <cellStyle name="Normal 9 2 6 2 2" xfId="31339" xr:uid="{00000000-0005-0000-0000-00006A740000}"/>
    <cellStyle name="Normal 9 2 6 3" xfId="32839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6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89" xr:uid="{00000000-0005-0000-0000-000074740000}"/>
    <cellStyle name="Normal 9 3 2 2 2 2 2 2" xfId="28054" xr:uid="{00000000-0005-0000-0000-000075740000}"/>
    <cellStyle name="Normal 9 3 2 2 2 2 3" xfId="31704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4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6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1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3" xr:uid="{00000000-0005-0000-0000-00009E740000}"/>
    <cellStyle name="Normal 9 3 3 5" xfId="33605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6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7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4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4" xr:uid="{00000000-0005-0000-0000-0000BD740000}"/>
    <cellStyle name="Normal 9 4 2 4 2" xfId="27417" xr:uid="{00000000-0005-0000-0000-0000BE740000}"/>
    <cellStyle name="Normal 9 4 2 5" xfId="32038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7" xr:uid="{00000000-0005-0000-0000-0000D2740000}"/>
    <cellStyle name="Normal 9 5 2 2 2 2" xfId="33773" xr:uid="{00000000-0005-0000-0000-0000D3740000}"/>
    <cellStyle name="Normal 9 5 2 2 3" xfId="32093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0" xr:uid="{00000000-0005-0000-0000-0000DA740000}"/>
    <cellStyle name="Normal 9 5 3 3" xfId="31690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5" xr:uid="{00000000-0005-0000-0000-0000DF740000}"/>
    <cellStyle name="Normal 9 6 2" xfId="33988" xr:uid="{00000000-0005-0000-0000-0000E0740000}"/>
    <cellStyle name="Normal 9 6 2 2" xfId="20705" xr:uid="{00000000-0005-0000-0000-0000E1740000}"/>
    <cellStyle name="Normal 9 6 2 2 2" xfId="33798" xr:uid="{00000000-0005-0000-0000-0000E2740000}"/>
    <cellStyle name="Normal 9 6 2 3" xfId="32142" xr:uid="{00000000-0005-0000-0000-0000E3740000}"/>
    <cellStyle name="Normal 9 6 3" xfId="33090" xr:uid="{00000000-0005-0000-0000-0000E4740000}"/>
    <cellStyle name="Normal 9 6 3 2" xfId="33046" xr:uid="{00000000-0005-0000-0000-0000E5740000}"/>
    <cellStyle name="Normal 9 6 4" xfId="31723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0" xr:uid="{00000000-0005-0000-0000-0000F4740000}"/>
    <cellStyle name="Note 10 4" xfId="33478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3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2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7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4" xr:uid="{00000000-0005-0000-0000-00000F750000}"/>
    <cellStyle name="Note 2 2 2 2 2 2 2 2" xfId="33571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0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3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0" xr:uid="{00000000-0005-0000-0000-000027750000}"/>
    <cellStyle name="Note 2 2 2 2 2 2 2 4" xfId="31764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79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1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2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2" xr:uid="{00000000-0005-0000-0000-00004A750000}"/>
    <cellStyle name="Note 2 2 2 2 2 2 6" xfId="33332" xr:uid="{00000000-0005-0000-0000-00004B750000}"/>
    <cellStyle name="Note 2 2 2 2 2 2 6 2" xfId="33114" xr:uid="{00000000-0005-0000-0000-00004C750000}"/>
    <cellStyle name="Note 2 2 2 2 2 2 7" xfId="33116" xr:uid="{00000000-0005-0000-0000-00004D750000}"/>
    <cellStyle name="Note 2 2 2 2 2 3" xfId="32788" xr:uid="{00000000-0005-0000-0000-00004E750000}"/>
    <cellStyle name="Note 2 2 2 2 2 3 2" xfId="33507" xr:uid="{00000000-0005-0000-0000-00004F750000}"/>
    <cellStyle name="Note 2 2 2 2 2 3 2 2" xfId="33514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59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5" xr:uid="{00000000-0005-0000-0000-00005F750000}"/>
    <cellStyle name="Note 2 2 2 2 2 3 3 2" xfId="32610" xr:uid="{00000000-0005-0000-0000-000060750000}"/>
    <cellStyle name="Note 2 2 2 2 2 3 3 2 2" xfId="23951" xr:uid="{00000000-0005-0000-0000-000061750000}"/>
    <cellStyle name="Note 2 2 2 2 2 3 3 2 2 2" xfId="33495" xr:uid="{00000000-0005-0000-0000-000062750000}"/>
    <cellStyle name="Note 2 2 2 2 2 3 3 2 3" xfId="32348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5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6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2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5" xr:uid="{00000000-0005-0000-0000-000094750000}"/>
    <cellStyle name="Note 2 2 2 2 3 2 2 2 3" xfId="30519" xr:uid="{00000000-0005-0000-0000-000095750000}"/>
    <cellStyle name="Note 2 2 2 2 3 2 2 2 3 2" xfId="33376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8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5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5" xr:uid="{00000000-0005-0000-0000-0000A2750000}"/>
    <cellStyle name="Note 2 2 2 2 3 2 3 2 3" xfId="33184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3" xr:uid="{00000000-0005-0000-0000-0000AB750000}"/>
    <cellStyle name="Note 2 2 2 2 3 2 5 2" xfId="23944" xr:uid="{00000000-0005-0000-0000-0000AC750000}"/>
    <cellStyle name="Note 2 2 2 2 3 2 6" xfId="33118" xr:uid="{00000000-0005-0000-0000-0000AD750000}"/>
    <cellStyle name="Note 2 2 2 2 3 3" xfId="33568" xr:uid="{00000000-0005-0000-0000-0000AE750000}"/>
    <cellStyle name="Note 2 2 2 2 3 3 2" xfId="33035" xr:uid="{00000000-0005-0000-0000-0000AF750000}"/>
    <cellStyle name="Note 2 2 2 2 3 3 2 2" xfId="33290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39" xr:uid="{00000000-0005-0000-0000-0000B3750000}"/>
    <cellStyle name="Note 2 2 2 2 3 3 2 3" xfId="31119" xr:uid="{00000000-0005-0000-0000-0000B4750000}"/>
    <cellStyle name="Note 2 2 2 2 3 3 2 3 2" xfId="33210" xr:uid="{00000000-0005-0000-0000-0000B5750000}"/>
    <cellStyle name="Note 2 2 2 2 3 3 2 4" xfId="31120" xr:uid="{00000000-0005-0000-0000-0000B6750000}"/>
    <cellStyle name="Note 2 2 2 2 3 3 3" xfId="33353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6" xr:uid="{00000000-0005-0000-0000-0000CE750000}"/>
    <cellStyle name="Note 2 2 2 2 4 2 2" xfId="21928" xr:uid="{00000000-0005-0000-0000-0000CF750000}"/>
    <cellStyle name="Note 2 2 2 2 4 2 2 2" xfId="33354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1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3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1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3" xr:uid="{00000000-0005-0000-0000-0000EE750000}"/>
    <cellStyle name="Note 2 2 2 2 5 2 2" xfId="31839" xr:uid="{00000000-0005-0000-0000-0000EF750000}"/>
    <cellStyle name="Note 2 2 2 2 5 2 2 2" xfId="32607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7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5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79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59" xr:uid="{00000000-0005-0000-0000-000010760000}"/>
    <cellStyle name="Note 2 2 2 3 2 2 2 2 2" xfId="31755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4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3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8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7" xr:uid="{00000000-0005-0000-0000-000037760000}"/>
    <cellStyle name="Note 2 2 2 3 2 3 3 2" xfId="31228" xr:uid="{00000000-0005-0000-0000-000038760000}"/>
    <cellStyle name="Note 2 2 2 3 2 3 3 2 2" xfId="32433" xr:uid="{00000000-0005-0000-0000-000039760000}"/>
    <cellStyle name="Note 2 2 2 3 2 3 3 3" xfId="24080" xr:uid="{00000000-0005-0000-0000-00003A760000}"/>
    <cellStyle name="Note 2 2 2 3 2 3 4" xfId="32500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4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8" xr:uid="{00000000-0005-0000-0000-000055760000}"/>
    <cellStyle name="Note 2 2 2 3 3 2 2 4" xfId="24137" xr:uid="{00000000-0005-0000-0000-000056760000}"/>
    <cellStyle name="Note 2 2 2 3 3 2 3" xfId="33977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3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8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6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0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0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6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69" xr:uid="{00000000-0005-0000-0000-000096760000}"/>
    <cellStyle name="Note 2 2 2 4 2 2 3" xfId="33221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4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6" xr:uid="{00000000-0005-0000-0000-0000AC760000}"/>
    <cellStyle name="Note 2 2 2 4 3" xfId="33764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5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4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2" xr:uid="{00000000-0005-0000-0000-0000DC760000}"/>
    <cellStyle name="Note 2 2 2 5 3" xfId="33778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3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0" xr:uid="{00000000-0005-0000-0000-0000F6760000}"/>
    <cellStyle name="Note 2 2 2 6 3 2 2" xfId="33457" xr:uid="{00000000-0005-0000-0000-0000F7760000}"/>
    <cellStyle name="Note 2 2 2 6 3 3" xfId="31449" xr:uid="{00000000-0005-0000-0000-0000F8760000}"/>
    <cellStyle name="Note 2 2 2 6 4" xfId="33739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5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7" xr:uid="{00000000-0005-0000-0000-000005770000}"/>
    <cellStyle name="Note 2 2 2 8 2 2" xfId="30674" xr:uid="{00000000-0005-0000-0000-000006770000}"/>
    <cellStyle name="Note 2 2 2 8 3" xfId="31957" xr:uid="{00000000-0005-0000-0000-000007770000}"/>
    <cellStyle name="Note 2 2 2 9" xfId="14289" xr:uid="{00000000-0005-0000-0000-000008770000}"/>
    <cellStyle name="Note 2 2 2 9 2" xfId="32994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6" xr:uid="{00000000-0005-0000-0000-00000E770000}"/>
    <cellStyle name="Note 2 2 3 2 2 2 2 2" xfId="32418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1" xr:uid="{00000000-0005-0000-0000-000012770000}"/>
    <cellStyle name="Note 2 2 3 2 2 2 2 2 2 3" xfId="1078" xr:uid="{00000000-0005-0000-0000-000013770000}"/>
    <cellStyle name="Note 2 2 3 2 2 2 2 2 3" xfId="31981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2" xr:uid="{00000000-0005-0000-0000-000017770000}"/>
    <cellStyle name="Note 2 2 3 2 2 2 2 3 2" xfId="31987" xr:uid="{00000000-0005-0000-0000-000018770000}"/>
    <cellStyle name="Note 2 2 3 2 2 2 2 3 2 2" xfId="33078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1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09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2" xr:uid="{00000000-0005-0000-0000-00002E770000}"/>
    <cellStyle name="Note 2 2 3 2 2 3 2 2" xfId="31635" xr:uid="{00000000-0005-0000-0000-00002F770000}"/>
    <cellStyle name="Note 2 2 3 2 2 3 2 2 2" xfId="33486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1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3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1" xr:uid="{00000000-0005-0000-0000-000056770000}"/>
    <cellStyle name="Note 2 2 3 2 3 2 3 2" xfId="31585" xr:uid="{00000000-0005-0000-0000-000057770000}"/>
    <cellStyle name="Note 2 2 3 2 3 2 3 2 2" xfId="31661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7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7" xr:uid="{00000000-0005-0000-0000-00006D770000}"/>
    <cellStyle name="Note 2 2 3 2 4 2 2" xfId="32766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4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4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2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4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0" xr:uid="{00000000-0005-0000-0000-0000AB770000}"/>
    <cellStyle name="Note 2 2 3 3 3" xfId="31560" xr:uid="{00000000-0005-0000-0000-0000AC770000}"/>
    <cellStyle name="Note 2 2 3 3 3 2" xfId="31727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1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8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89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3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79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3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3" xr:uid="{00000000-0005-0000-0000-0000DC770000}"/>
    <cellStyle name="Note 2 2 3 4 3 2" xfId="2347" xr:uid="{00000000-0005-0000-0000-0000DD770000}"/>
    <cellStyle name="Note 2 2 3 4 3 2 2" xfId="33880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0" xr:uid="{00000000-0005-0000-0000-0000E1770000}"/>
    <cellStyle name="Note 2 2 3 4 3 3 2" xfId="30208" xr:uid="{00000000-0005-0000-0000-0000E2770000}"/>
    <cellStyle name="Note 2 2 3 4 3 4" xfId="31869" xr:uid="{00000000-0005-0000-0000-0000E3770000}"/>
    <cellStyle name="Note 2 2 3 4 4" xfId="33870" xr:uid="{00000000-0005-0000-0000-0000E4770000}"/>
    <cellStyle name="Note 2 2 3 4 4 2" xfId="28090" xr:uid="{00000000-0005-0000-0000-0000E5770000}"/>
    <cellStyle name="Note 2 2 3 4 4 2 2" xfId="31646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1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2" xr:uid="{00000000-0005-0000-0000-0000F3770000}"/>
    <cellStyle name="Note 2 2 3 5 3" xfId="33795" xr:uid="{00000000-0005-0000-0000-0000F4770000}"/>
    <cellStyle name="Note 2 2 3 5 3 2" xfId="33225" xr:uid="{00000000-0005-0000-0000-0000F5770000}"/>
    <cellStyle name="Note 2 2 3 5 3 2 2" xfId="33768" xr:uid="{00000000-0005-0000-0000-0000F6770000}"/>
    <cellStyle name="Note 2 2 3 5 3 3" xfId="31777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79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8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6" xr:uid="{00000000-0005-0000-0000-000004780000}"/>
    <cellStyle name="Note 2 2 3 7 2 2" xfId="29505" xr:uid="{00000000-0005-0000-0000-000005780000}"/>
    <cellStyle name="Note 2 2 3 7 3" xfId="31649" xr:uid="{00000000-0005-0000-0000-000006780000}"/>
    <cellStyle name="Note 2 2 3 8" xfId="9448" xr:uid="{00000000-0005-0000-0000-000007780000}"/>
    <cellStyle name="Note 2 2 3 8 2" xfId="33468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7" xr:uid="{00000000-0005-0000-0000-00000C780000}"/>
    <cellStyle name="Note 2 2 4 2 2 2" xfId="19198" xr:uid="{00000000-0005-0000-0000-00000D780000}"/>
    <cellStyle name="Note 2 2 4 2 2 2 2" xfId="32838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8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5" xr:uid="{00000000-0005-0000-0000-000016780000}"/>
    <cellStyle name="Note 2 2 4 2 2 2 3 2" xfId="33648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8" xr:uid="{00000000-0005-0000-0000-00001A780000}"/>
    <cellStyle name="Note 2 2 4 2 2 2 4 2" xfId="31662" xr:uid="{00000000-0005-0000-0000-00001B780000}"/>
    <cellStyle name="Note 2 2 4 2 2 2 5" xfId="29986" xr:uid="{00000000-0005-0000-0000-00001C780000}"/>
    <cellStyle name="Note 2 2 4 2 2 3" xfId="32100" xr:uid="{00000000-0005-0000-0000-00001D780000}"/>
    <cellStyle name="Note 2 2 4 2 2 3 2" xfId="28583" xr:uid="{00000000-0005-0000-0000-00001E780000}"/>
    <cellStyle name="Note 2 2 4 2 2 3 2 2" xfId="31663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6" xr:uid="{00000000-0005-0000-0000-000023780000}"/>
    <cellStyle name="Note 2 2 4 2 2 3 4" xfId="31669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1" xr:uid="{00000000-0005-0000-0000-000028780000}"/>
    <cellStyle name="Note 2 2 4 2 2 5" xfId="4649" xr:uid="{00000000-0005-0000-0000-000029780000}"/>
    <cellStyle name="Note 2 2 4 2 2 5 2" xfId="31672" xr:uid="{00000000-0005-0000-0000-00002A780000}"/>
    <cellStyle name="Note 2 2 4 2 2 6" xfId="31966" xr:uid="{00000000-0005-0000-0000-00002B780000}"/>
    <cellStyle name="Note 2 2 4 2 3" xfId="16955" xr:uid="{00000000-0005-0000-0000-00002C780000}"/>
    <cellStyle name="Note 2 2 4 2 3 2" xfId="31674" xr:uid="{00000000-0005-0000-0000-00002D780000}"/>
    <cellStyle name="Note 2 2 4 2 3 2 2" xfId="33763" xr:uid="{00000000-0005-0000-0000-00002E780000}"/>
    <cellStyle name="Note 2 2 4 2 3 2 2 2" xfId="31676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2" xr:uid="{00000000-0005-0000-0000-000032780000}"/>
    <cellStyle name="Note 2 2 4 2 3 2 3 2" xfId="31683" xr:uid="{00000000-0005-0000-0000-000033780000}"/>
    <cellStyle name="Note 2 2 4 2 3 2 4" xfId="22684" xr:uid="{00000000-0005-0000-0000-000034780000}"/>
    <cellStyle name="Note 2 2 4 2 3 3" xfId="31692" xr:uid="{00000000-0005-0000-0000-000035780000}"/>
    <cellStyle name="Note 2 2 4 2 3 3 2" xfId="31694" xr:uid="{00000000-0005-0000-0000-000036780000}"/>
    <cellStyle name="Note 2 2 4 2 3 3 2 2" xfId="31699" xr:uid="{00000000-0005-0000-0000-000037780000}"/>
    <cellStyle name="Note 2 2 4 2 3 3 3" xfId="31701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6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7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7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5" xr:uid="{00000000-0005-0000-0000-00005C780000}"/>
    <cellStyle name="Note 2 2 4 3 3 2" xfId="22055" xr:uid="{00000000-0005-0000-0000-00005D780000}"/>
    <cellStyle name="Note 2 2 4 3 3 2 2" xfId="31718" xr:uid="{00000000-0005-0000-0000-00005E780000}"/>
    <cellStyle name="Note 2 2 4 3 3 2 2 2" xfId="19722" xr:uid="{00000000-0005-0000-0000-00005F780000}"/>
    <cellStyle name="Note 2 2 4 3 3 2 3" xfId="32695" xr:uid="{00000000-0005-0000-0000-000060780000}"/>
    <cellStyle name="Note 2 2 4 3 3 3" xfId="31722" xr:uid="{00000000-0005-0000-0000-000061780000}"/>
    <cellStyle name="Note 2 2 4 3 3 3 2" xfId="32711" xr:uid="{00000000-0005-0000-0000-000062780000}"/>
    <cellStyle name="Note 2 2 4 3 3 4" xfId="27203" xr:uid="{00000000-0005-0000-0000-000063780000}"/>
    <cellStyle name="Note 2 2 4 3 4" xfId="31729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5" xr:uid="{00000000-0005-0000-0000-000067780000}"/>
    <cellStyle name="Note 2 2 4 3 5" xfId="20110" xr:uid="{00000000-0005-0000-0000-000068780000}"/>
    <cellStyle name="Note 2 2 4 3 5 2" xfId="31739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2" xr:uid="{00000000-0005-0000-0000-00006F780000}"/>
    <cellStyle name="Note 2 2 4 4 2 2 3" xfId="31745" xr:uid="{00000000-0005-0000-0000-000070780000}"/>
    <cellStyle name="Note 2 2 4 4 2 3" xfId="32370" xr:uid="{00000000-0005-0000-0000-000071780000}"/>
    <cellStyle name="Note 2 2 4 4 2 3 2" xfId="31781" xr:uid="{00000000-0005-0000-0000-000072780000}"/>
    <cellStyle name="Note 2 2 4 4 2 4" xfId="26266" xr:uid="{00000000-0005-0000-0000-000073780000}"/>
    <cellStyle name="Note 2 2 4 4 3" xfId="33980" xr:uid="{00000000-0005-0000-0000-000074780000}"/>
    <cellStyle name="Note 2 2 4 4 3 2" xfId="33932" xr:uid="{00000000-0005-0000-0000-000075780000}"/>
    <cellStyle name="Note 2 2 4 4 3 2 2" xfId="32862" xr:uid="{00000000-0005-0000-0000-000076780000}"/>
    <cellStyle name="Note 2 2 4 4 3 3" xfId="31799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6" xr:uid="{00000000-0005-0000-0000-00007C780000}"/>
    <cellStyle name="Note 2 2 4 5 2 2" xfId="34020" xr:uid="{00000000-0005-0000-0000-00007D780000}"/>
    <cellStyle name="Note 2 2 4 5 2 2 2" xfId="31761" xr:uid="{00000000-0005-0000-0000-00007E780000}"/>
    <cellStyle name="Note 2 2 4 5 2 3" xfId="31898" xr:uid="{00000000-0005-0000-0000-00007F780000}"/>
    <cellStyle name="Note 2 2 4 5 3" xfId="31763" xr:uid="{00000000-0005-0000-0000-000080780000}"/>
    <cellStyle name="Note 2 2 4 5 3 2" xfId="31765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0" xr:uid="{00000000-0005-0000-0000-000084780000}"/>
    <cellStyle name="Note 2 2 4 6 2 2" xfId="31773" xr:uid="{00000000-0005-0000-0000-000085780000}"/>
    <cellStyle name="Note 2 2 4 6 3" xfId="31774" xr:uid="{00000000-0005-0000-0000-000086780000}"/>
    <cellStyle name="Note 2 2 4 7" xfId="22262" xr:uid="{00000000-0005-0000-0000-000087780000}"/>
    <cellStyle name="Note 2 2 4 7 2" xfId="31776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8" xr:uid="{00000000-0005-0000-0000-00008E780000}"/>
    <cellStyle name="Note 2 2 5 2 2 2 2 2" xfId="33500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4" xr:uid="{00000000-0005-0000-0000-000092780000}"/>
    <cellStyle name="Note 2 2 5 2 2 2 3 2" xfId="2293" xr:uid="{00000000-0005-0000-0000-000093780000}"/>
    <cellStyle name="Note 2 2 5 2 2 2 4" xfId="31858" xr:uid="{00000000-0005-0000-0000-000094780000}"/>
    <cellStyle name="Note 2 2 5 2 2 3" xfId="32333" xr:uid="{00000000-0005-0000-0000-000095780000}"/>
    <cellStyle name="Note 2 2 5 2 2 3 2" xfId="31848" xr:uid="{00000000-0005-0000-0000-000096780000}"/>
    <cellStyle name="Note 2 2 5 2 2 3 2 2" xfId="31854" xr:uid="{00000000-0005-0000-0000-000097780000}"/>
    <cellStyle name="Note 2 2 5 2 2 3 3" xfId="31868" xr:uid="{00000000-0005-0000-0000-000098780000}"/>
    <cellStyle name="Note 2 2 5 2 2 4" xfId="4916" xr:uid="{00000000-0005-0000-0000-000099780000}"/>
    <cellStyle name="Note 2 2 5 2 2 4 2" xfId="31874" xr:uid="{00000000-0005-0000-0000-00009A780000}"/>
    <cellStyle name="Note 2 2 5 2 2 5" xfId="32162" xr:uid="{00000000-0005-0000-0000-00009B780000}"/>
    <cellStyle name="Note 2 2 5 2 3" xfId="14541" xr:uid="{00000000-0005-0000-0000-00009C780000}"/>
    <cellStyle name="Note 2 2 5 2 3 2" xfId="32337" xr:uid="{00000000-0005-0000-0000-00009D780000}"/>
    <cellStyle name="Note 2 2 5 2 3 2 2" xfId="32191" xr:uid="{00000000-0005-0000-0000-00009E780000}"/>
    <cellStyle name="Note 2 2 5 2 3 2 2 2" xfId="31633" xr:uid="{00000000-0005-0000-0000-00009F780000}"/>
    <cellStyle name="Note 2 2 5 2 3 2 3" xfId="33383" xr:uid="{00000000-0005-0000-0000-0000A0780000}"/>
    <cellStyle name="Note 2 2 5 2 3 3" xfId="32339" xr:uid="{00000000-0005-0000-0000-0000A1780000}"/>
    <cellStyle name="Note 2 2 5 2 3 3 2" xfId="31778" xr:uid="{00000000-0005-0000-0000-0000A2780000}"/>
    <cellStyle name="Note 2 2 5 2 3 4" xfId="33701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0" xr:uid="{00000000-0005-0000-0000-0000A7780000}"/>
    <cellStyle name="Note 2 2 5 2 5" xfId="11723" xr:uid="{00000000-0005-0000-0000-0000A8780000}"/>
    <cellStyle name="Note 2 2 5 2 5 2" xfId="32192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1" xr:uid="{00000000-0005-0000-0000-0000AE780000}"/>
    <cellStyle name="Note 2 2 5 3 2 2 2 2" xfId="31782" xr:uid="{00000000-0005-0000-0000-0000AF780000}"/>
    <cellStyle name="Note 2 2 5 3 2 2 3" xfId="31789" xr:uid="{00000000-0005-0000-0000-0000B0780000}"/>
    <cellStyle name="Note 2 2 5 3 2 3" xfId="32446" xr:uid="{00000000-0005-0000-0000-0000B1780000}"/>
    <cellStyle name="Note 2 2 5 3 2 3 2" xfId="31802" xr:uid="{00000000-0005-0000-0000-0000B2780000}"/>
    <cellStyle name="Note 2 2 5 3 2 4" xfId="31805" xr:uid="{00000000-0005-0000-0000-0000B3780000}"/>
    <cellStyle name="Note 2 2 5 3 3" xfId="3153" xr:uid="{00000000-0005-0000-0000-0000B4780000}"/>
    <cellStyle name="Note 2 2 5 3 3 2" xfId="32381" xr:uid="{00000000-0005-0000-0000-0000B5780000}"/>
    <cellStyle name="Note 2 2 5 3 3 2 2" xfId="31899" xr:uid="{00000000-0005-0000-0000-0000B6780000}"/>
    <cellStyle name="Note 2 2 5 3 3 3" xfId="31806" xr:uid="{00000000-0005-0000-0000-0000B7780000}"/>
    <cellStyle name="Note 2 2 5 3 4" xfId="7778" xr:uid="{00000000-0005-0000-0000-0000B8780000}"/>
    <cellStyle name="Note 2 2 5 3 4 2" xfId="33746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3" xr:uid="{00000000-0005-0000-0000-0000BD780000}"/>
    <cellStyle name="Note 2 2 5 4 2 2 2" xfId="32041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8" xr:uid="{00000000-0005-0000-0000-0000C5780000}"/>
    <cellStyle name="Note 2 2 5 5 3" xfId="33633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0" xr:uid="{00000000-0005-0000-0000-0000CB780000}"/>
    <cellStyle name="Note 2 2 6 2 2" xfId="31813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8" xr:uid="{00000000-0005-0000-0000-0000D1780000}"/>
    <cellStyle name="Note 2 2 6 2 2 3 2" xfId="13256" xr:uid="{00000000-0005-0000-0000-0000D2780000}"/>
    <cellStyle name="Note 2 2 6 2 2 4" xfId="33481" xr:uid="{00000000-0005-0000-0000-0000D3780000}"/>
    <cellStyle name="Note 2 2 6 2 3" xfId="14529" xr:uid="{00000000-0005-0000-0000-0000D4780000}"/>
    <cellStyle name="Note 2 2 6 2 3 2" xfId="33919" xr:uid="{00000000-0005-0000-0000-0000D5780000}"/>
    <cellStyle name="Note 2 2 6 2 3 2 2" xfId="31814" xr:uid="{00000000-0005-0000-0000-0000D6780000}"/>
    <cellStyle name="Note 2 2 6 2 3 3" xfId="31815" xr:uid="{00000000-0005-0000-0000-0000D7780000}"/>
    <cellStyle name="Note 2 2 6 2 4" xfId="14535" xr:uid="{00000000-0005-0000-0000-0000D8780000}"/>
    <cellStyle name="Note 2 2 6 2 4 2" xfId="31824" xr:uid="{00000000-0005-0000-0000-0000D9780000}"/>
    <cellStyle name="Note 2 2 6 2 5" xfId="31825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8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3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6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4" xr:uid="{00000000-0005-0000-0000-0000EE780000}"/>
    <cellStyle name="Note 2 2 7 2 2 3" xfId="31838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1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3" xr:uid="{00000000-0005-0000-0000-0000FB780000}"/>
    <cellStyle name="Note 2 2 8 2 2" xfId="31855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0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8" xr:uid="{00000000-0005-0000-0000-000003790000}"/>
    <cellStyle name="Note 2 2 9 2 2" xfId="30547" xr:uid="{00000000-0005-0000-0000-000004790000}"/>
    <cellStyle name="Note 2 2 9 3" xfId="31884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8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8" xr:uid="{00000000-0005-0000-0000-00000C790000}"/>
    <cellStyle name="Note 2 3 2 2 2 2 2 2" xfId="33589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5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2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3" xr:uid="{00000000-0005-0000-0000-00001A790000}"/>
    <cellStyle name="Note 2 3 2 2 2 2 2 5" xfId="19585" xr:uid="{00000000-0005-0000-0000-00001B790000}"/>
    <cellStyle name="Note 2 3 2 2 2 2 3" xfId="32382" xr:uid="{00000000-0005-0000-0000-00001C790000}"/>
    <cellStyle name="Note 2 3 2 2 2 2 3 2" xfId="31900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4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8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4" xr:uid="{00000000-0005-0000-0000-000028790000}"/>
    <cellStyle name="Note 2 3 2 2 2 2 5 2" xfId="3979" xr:uid="{00000000-0005-0000-0000-000029790000}"/>
    <cellStyle name="Note 2 3 2 2 2 2 6" xfId="32915" xr:uid="{00000000-0005-0000-0000-00002A790000}"/>
    <cellStyle name="Note 2 3 2 2 2 3" xfId="30521" xr:uid="{00000000-0005-0000-0000-00002B790000}"/>
    <cellStyle name="Note 2 3 2 2 2 3 2" xfId="32421" xr:uid="{00000000-0005-0000-0000-00002C790000}"/>
    <cellStyle name="Note 2 3 2 2 2 3 2 2" xfId="31931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5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1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0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09" xr:uid="{00000000-0005-0000-0000-00003E790000}"/>
    <cellStyle name="Note 2 3 2 2 2 4 2 3" xfId="31946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8" xr:uid="{00000000-0005-0000-0000-000045790000}"/>
    <cellStyle name="Note 2 3 2 2 2 5 3" xfId="31951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59" xr:uid="{00000000-0005-0000-0000-00004B790000}"/>
    <cellStyle name="Note 2 3 2 2 3 2 2" xfId="33305" xr:uid="{00000000-0005-0000-0000-00004C790000}"/>
    <cellStyle name="Note 2 3 2 2 3 2 2 2" xfId="31960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3" xr:uid="{00000000-0005-0000-0000-000053790000}"/>
    <cellStyle name="Note 2 3 2 2 3 2 3" xfId="31964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0" xr:uid="{00000000-0005-0000-0000-000059790000}"/>
    <cellStyle name="Note 2 3 2 2 3 2 5" xfId="6709" xr:uid="{00000000-0005-0000-0000-00005A790000}"/>
    <cellStyle name="Note 2 3 2 2 3 3" xfId="31975" xr:uid="{00000000-0005-0000-0000-00005B790000}"/>
    <cellStyle name="Note 2 3 2 2 3 3 2" xfId="33020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0" xr:uid="{00000000-0005-0000-0000-000060790000}"/>
    <cellStyle name="Note 2 3 2 2 3 3 3 2" xfId="18729" xr:uid="{00000000-0005-0000-0000-000061790000}"/>
    <cellStyle name="Note 2 3 2 2 3 3 4" xfId="31984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3" xr:uid="{00000000-0005-0000-0000-000068790000}"/>
    <cellStyle name="Note 2 3 2 2 3 6" xfId="20917" xr:uid="{00000000-0005-0000-0000-000069790000}"/>
    <cellStyle name="Note 2 3 2 2 4" xfId="31995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2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09" xr:uid="{00000000-0005-0000-0000-000074790000}"/>
    <cellStyle name="Note 2 3 2 2 4 3 2 2" xfId="16794" xr:uid="{00000000-0005-0000-0000-000075790000}"/>
    <cellStyle name="Note 2 3 2 2 4 3 3" xfId="32010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6" xr:uid="{00000000-0005-0000-0000-00007D790000}"/>
    <cellStyle name="Note 2 3 2 2 5 2 3" xfId="9813" xr:uid="{00000000-0005-0000-0000-00007E790000}"/>
    <cellStyle name="Note 2 3 2 2 5 3" xfId="32014" xr:uid="{00000000-0005-0000-0000-00007F790000}"/>
    <cellStyle name="Note 2 3 2 2 5 3 2" xfId="9820" xr:uid="{00000000-0005-0000-0000-000080790000}"/>
    <cellStyle name="Note 2 3 2 2 5 4" xfId="32017" xr:uid="{00000000-0005-0000-0000-000081790000}"/>
    <cellStyle name="Note 2 3 2 2 6" xfId="29735" xr:uid="{00000000-0005-0000-0000-000082790000}"/>
    <cellStyle name="Note 2 3 2 2 6 2" xfId="33445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2" xr:uid="{00000000-0005-0000-0000-000086790000}"/>
    <cellStyle name="Note 2 3 2 2 7 2" xfId="25630" xr:uid="{00000000-0005-0000-0000-000087790000}"/>
    <cellStyle name="Note 2 3 2 2 8" xfId="32043" xr:uid="{00000000-0005-0000-0000-000088790000}"/>
    <cellStyle name="Note 2 3 2 3" xfId="32048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49" xr:uid="{00000000-0005-0000-0000-0000C6790000}"/>
    <cellStyle name="Note 2 3 2 3 6 2" xfId="7423" xr:uid="{00000000-0005-0000-0000-0000C7790000}"/>
    <cellStyle name="Note 2 3 2 3 7" xfId="33476" xr:uid="{00000000-0005-0000-0000-0000C8790000}"/>
    <cellStyle name="Note 2 3 2 4" xfId="31794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6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69" xr:uid="{00000000-0005-0000-0000-0000077A0000}"/>
    <cellStyle name="Note 2 3 3" xfId="33156" xr:uid="{00000000-0005-0000-0000-0000087A0000}"/>
    <cellStyle name="Note 2 3 3 2" xfId="28288" xr:uid="{00000000-0005-0000-0000-0000097A0000}"/>
    <cellStyle name="Note 2 3 3 2 2" xfId="32649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1" xr:uid="{00000000-0005-0000-0000-00000D7A0000}"/>
    <cellStyle name="Note 2 3 3 2 2 2 2 2 2" xfId="32853" xr:uid="{00000000-0005-0000-0000-00000E7A0000}"/>
    <cellStyle name="Note 2 3 3 2 2 2 2 2 2 2" xfId="32060" xr:uid="{00000000-0005-0000-0000-00000F7A0000}"/>
    <cellStyle name="Note 2 3 3 2 2 2 2 2 3" xfId="32061" xr:uid="{00000000-0005-0000-0000-0000107A0000}"/>
    <cellStyle name="Note 2 3 3 2 2 2 2 3" xfId="32855" xr:uid="{00000000-0005-0000-0000-0000117A0000}"/>
    <cellStyle name="Note 2 3 3 2 2 2 2 3 2" xfId="32062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49" xr:uid="{00000000-0005-0000-0000-0000167A0000}"/>
    <cellStyle name="Note 2 3 3 2 2 2 3 3" xfId="32832" xr:uid="{00000000-0005-0000-0000-0000177A0000}"/>
    <cellStyle name="Note 2 3 3 2 2 2 4" xfId="28226" xr:uid="{00000000-0005-0000-0000-0000187A0000}"/>
    <cellStyle name="Note 2 3 3 2 2 2 4 2" xfId="32704" xr:uid="{00000000-0005-0000-0000-0000197A0000}"/>
    <cellStyle name="Note 2 3 3 2 2 2 5" xfId="32073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0" xr:uid="{00000000-0005-0000-0000-00001D7A0000}"/>
    <cellStyle name="Note 2 3 3 2 2 3 2 2 2" xfId="33575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2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1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1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09" xr:uid="{00000000-0005-0000-0000-00002B7A0000}"/>
    <cellStyle name="Note 2 3 3 2 3 2 2" xfId="31196" xr:uid="{00000000-0005-0000-0000-00002C7A0000}"/>
    <cellStyle name="Note 2 3 3 2 3 2 2 2" xfId="32077" xr:uid="{00000000-0005-0000-0000-00002D7A0000}"/>
    <cellStyle name="Note 2 3 3 2 3 2 2 2 2" xfId="33068" xr:uid="{00000000-0005-0000-0000-00002E7A0000}"/>
    <cellStyle name="Note 2 3 3 2 3 2 2 3" xfId="26675" xr:uid="{00000000-0005-0000-0000-00002F7A0000}"/>
    <cellStyle name="Note 2 3 3 2 3 2 3" xfId="32877" xr:uid="{00000000-0005-0000-0000-0000307A0000}"/>
    <cellStyle name="Note 2 3 3 2 3 2 3 2" xfId="34031" xr:uid="{00000000-0005-0000-0000-0000317A0000}"/>
    <cellStyle name="Note 2 3 3 2 3 2 4" xfId="32989" xr:uid="{00000000-0005-0000-0000-0000327A0000}"/>
    <cellStyle name="Note 2 3 3 2 3 3" xfId="32083" xr:uid="{00000000-0005-0000-0000-0000337A0000}"/>
    <cellStyle name="Note 2 3 3 2 3 3 2" xfId="32941" xr:uid="{00000000-0005-0000-0000-0000347A0000}"/>
    <cellStyle name="Note 2 3 3 2 3 3 2 2" xfId="2912" xr:uid="{00000000-0005-0000-0000-0000357A0000}"/>
    <cellStyle name="Note 2 3 3 2 3 3 3" xfId="33814" xr:uid="{00000000-0005-0000-0000-0000367A0000}"/>
    <cellStyle name="Note 2 3 3 2 3 4" xfId="5681" xr:uid="{00000000-0005-0000-0000-0000377A0000}"/>
    <cellStyle name="Note 2 3 3 2 3 4 2" xfId="33121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7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8" xr:uid="{00000000-0005-0000-0000-00003F7A0000}"/>
    <cellStyle name="Note 2 3 3 2 4 3 2" xfId="33711" xr:uid="{00000000-0005-0000-0000-0000407A0000}"/>
    <cellStyle name="Note 2 3 3 2 4 4" xfId="33929" xr:uid="{00000000-0005-0000-0000-0000417A0000}"/>
    <cellStyle name="Note 2 3 3 2 5" xfId="27409" xr:uid="{00000000-0005-0000-0000-0000427A0000}"/>
    <cellStyle name="Note 2 3 3 2 5 2" xfId="33785" xr:uid="{00000000-0005-0000-0000-0000437A0000}"/>
    <cellStyle name="Note 2 3 3 2 5 2 2" xfId="10341" xr:uid="{00000000-0005-0000-0000-0000447A0000}"/>
    <cellStyle name="Note 2 3 3 2 5 3" xfId="32104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0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7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3" xr:uid="{00000000-0005-0000-0000-00008A7A0000}"/>
    <cellStyle name="Note 2 3 4 2 2 2" xfId="32627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0" xr:uid="{00000000-0005-0000-0000-00009A7A0000}"/>
    <cellStyle name="Note 2 3 4 2 3 2" xfId="32753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29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1" xr:uid="{00000000-0005-0000-0000-0000A67A0000}"/>
    <cellStyle name="Note 2 3 4 2 5 2" xfId="33594" xr:uid="{00000000-0005-0000-0000-0000A77A0000}"/>
    <cellStyle name="Note 2 3 4 2 6" xfId="21007" xr:uid="{00000000-0005-0000-0000-0000A87A0000}"/>
    <cellStyle name="Note 2 3 4 3" xfId="32156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0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4" xr:uid="{00000000-0005-0000-0000-0000C87A0000}"/>
    <cellStyle name="Note 2 3 5 2" xfId="32169" xr:uid="{00000000-0005-0000-0000-0000C97A0000}"/>
    <cellStyle name="Note 2 3 5 2 2" xfId="33964" xr:uid="{00000000-0005-0000-0000-0000CA7A0000}"/>
    <cellStyle name="Note 2 3 5 2 2 2" xfId="32170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5" xr:uid="{00000000-0005-0000-0000-0000CF7A0000}"/>
    <cellStyle name="Note 2 3 5 2 2 3 2" xfId="25797" xr:uid="{00000000-0005-0000-0000-0000D07A0000}"/>
    <cellStyle name="Note 2 3 5 2 2 4" xfId="32176" xr:uid="{00000000-0005-0000-0000-0000D17A0000}"/>
    <cellStyle name="Note 2 3 5 2 3" xfId="14554" xr:uid="{00000000-0005-0000-0000-0000D27A0000}"/>
    <cellStyle name="Note 2 3 5 2 3 2" xfId="33283" xr:uid="{00000000-0005-0000-0000-0000D37A0000}"/>
    <cellStyle name="Note 2 3 5 2 3 2 2" xfId="28545" xr:uid="{00000000-0005-0000-0000-0000D47A0000}"/>
    <cellStyle name="Note 2 3 5 2 3 3" xfId="33132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8" xr:uid="{00000000-0005-0000-0000-0000D87A0000}"/>
    <cellStyle name="Note 2 3 5 3" xfId="32177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1" xr:uid="{00000000-0005-0000-0000-0000E97A0000}"/>
    <cellStyle name="Note 2 3 6 2 2" xfId="32186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5" xr:uid="{00000000-0005-0000-0000-0000F07A0000}"/>
    <cellStyle name="Note 2 3 6 3" xfId="32187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6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5" xr:uid="{00000000-0005-0000-0000-0000007B0000}"/>
    <cellStyle name="Note 2 3 8 2" xfId="32197" xr:uid="{00000000-0005-0000-0000-0000017B0000}"/>
    <cellStyle name="Note 2 3 8 2 2" xfId="861" xr:uid="{00000000-0005-0000-0000-0000027B0000}"/>
    <cellStyle name="Note 2 3 8 3" xfId="32798" xr:uid="{00000000-0005-0000-0000-0000037B0000}"/>
    <cellStyle name="Note 2 3 9" xfId="27640" xr:uid="{00000000-0005-0000-0000-0000047B0000}"/>
    <cellStyle name="Note 2 3 9 2" xfId="32198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5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6" xr:uid="{00000000-0005-0000-0000-00000E7B0000}"/>
    <cellStyle name="Note 2 4 2 2 2 2 2 2 3" xfId="25899" xr:uid="{00000000-0005-0000-0000-00000F7B0000}"/>
    <cellStyle name="Note 2 4 2 2 2 2 2 3" xfId="32113" xr:uid="{00000000-0005-0000-0000-0000107B0000}"/>
    <cellStyle name="Note 2 4 2 2 2 2 2 3 2" xfId="32028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3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5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39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7" xr:uid="{00000000-0005-0000-0000-0000257B0000}"/>
    <cellStyle name="Note 2 4 2 2 2 5" xfId="6608" xr:uid="{00000000-0005-0000-0000-0000267B0000}"/>
    <cellStyle name="Note 2 4 2 2 2 5 2" xfId="32410" xr:uid="{00000000-0005-0000-0000-0000277B0000}"/>
    <cellStyle name="Note 2 4 2 2 2 6" xfId="32258" xr:uid="{00000000-0005-0000-0000-0000287B0000}"/>
    <cellStyle name="Note 2 4 2 2 3" xfId="2074" xr:uid="{00000000-0005-0000-0000-0000297B0000}"/>
    <cellStyle name="Note 2 4 2 2 3 2" xfId="33411" xr:uid="{00000000-0005-0000-0000-00002A7B0000}"/>
    <cellStyle name="Note 2 4 2 2 3 2 2" xfId="33921" xr:uid="{00000000-0005-0000-0000-00002B7B0000}"/>
    <cellStyle name="Note 2 4 2 2 3 2 2 2" xfId="33136" xr:uid="{00000000-0005-0000-0000-00002C7B0000}"/>
    <cellStyle name="Note 2 4 2 2 3 2 2 2 2" xfId="32261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2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7" xr:uid="{00000000-0005-0000-0000-0000397B0000}"/>
    <cellStyle name="Note 2 4 2 2 4 2" xfId="22773" xr:uid="{00000000-0005-0000-0000-00003A7B0000}"/>
    <cellStyle name="Note 2 4 2 2 4 2 2" xfId="32141" xr:uid="{00000000-0005-0000-0000-00003B7B0000}"/>
    <cellStyle name="Note 2 4 2 2 4 2 2 2" xfId="32279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7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6" xr:uid="{00000000-0005-0000-0000-0000457B0000}"/>
    <cellStyle name="Note 2 4 2 2 6 2" xfId="32614" xr:uid="{00000000-0005-0000-0000-0000467B0000}"/>
    <cellStyle name="Note 2 4 2 2 7" xfId="32624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0" xr:uid="{00000000-0005-0000-0000-00004C7B0000}"/>
    <cellStyle name="Note 2 4 2 3 2 2 2 2 2" xfId="32295" xr:uid="{00000000-0005-0000-0000-00004D7B0000}"/>
    <cellStyle name="Note 2 4 2 3 2 2 2 3" xfId="32910" xr:uid="{00000000-0005-0000-0000-00004E7B0000}"/>
    <cellStyle name="Note 2 4 2 3 2 2 3" xfId="32300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19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4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7" xr:uid="{00000000-0005-0000-0000-00005B7B0000}"/>
    <cellStyle name="Note 2 4 2 3 3 2 2 2" xfId="32045" xr:uid="{00000000-0005-0000-0000-00005C7B0000}"/>
    <cellStyle name="Note 2 4 2 3 3 2 3" xfId="32308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0" xr:uid="{00000000-0005-0000-0000-0000607B0000}"/>
    <cellStyle name="Note 2 4 2 3 4" xfId="10140" xr:uid="{00000000-0005-0000-0000-0000617B0000}"/>
    <cellStyle name="Note 2 4 2 3 4 2" xfId="33677" xr:uid="{00000000-0005-0000-0000-0000627B0000}"/>
    <cellStyle name="Note 2 4 2 3 4 2 2" xfId="5914" xr:uid="{00000000-0005-0000-0000-0000637B0000}"/>
    <cellStyle name="Note 2 4 2 3 4 3" xfId="32312" xr:uid="{00000000-0005-0000-0000-0000647B0000}"/>
    <cellStyle name="Note 2 4 2 3 5" xfId="27199" xr:uid="{00000000-0005-0000-0000-0000657B0000}"/>
    <cellStyle name="Note 2 4 2 3 5 2" xfId="33422" xr:uid="{00000000-0005-0000-0000-0000667B0000}"/>
    <cellStyle name="Note 2 4 2 3 6" xfId="32638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3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5" xr:uid="{00000000-0005-0000-0000-00006D7B0000}"/>
    <cellStyle name="Note 2 4 2 4 2 3" xfId="32785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6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5" xr:uid="{00000000-0005-0000-0000-00007B7B0000}"/>
    <cellStyle name="Note 2 4 2 5 2 3" xfId="33888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3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6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8" xr:uid="{00000000-0005-0000-0000-0000927B0000}"/>
    <cellStyle name="Note 2 4 3 2 2 3 2" xfId="32632" xr:uid="{00000000-0005-0000-0000-0000937B0000}"/>
    <cellStyle name="Note 2 4 3 2 2 3 2 2" xfId="32321" xr:uid="{00000000-0005-0000-0000-0000947B0000}"/>
    <cellStyle name="Note 2 4 3 2 2 3 3" xfId="32653" xr:uid="{00000000-0005-0000-0000-0000957B0000}"/>
    <cellStyle name="Note 2 4 3 2 2 4" xfId="7081" xr:uid="{00000000-0005-0000-0000-0000967B0000}"/>
    <cellStyle name="Note 2 4 3 2 2 4 2" xfId="32658" xr:uid="{00000000-0005-0000-0000-0000977B0000}"/>
    <cellStyle name="Note 2 4 3 2 2 5" xfId="34003" xr:uid="{00000000-0005-0000-0000-0000987B0000}"/>
    <cellStyle name="Note 2 4 3 2 3" xfId="33684" xr:uid="{00000000-0005-0000-0000-0000997B0000}"/>
    <cellStyle name="Note 2 4 3 2 3 2" xfId="32675" xr:uid="{00000000-0005-0000-0000-00009A7B0000}"/>
    <cellStyle name="Note 2 4 3 2 3 2 2" xfId="33652" xr:uid="{00000000-0005-0000-0000-00009B7B0000}"/>
    <cellStyle name="Note 2 4 3 2 3 2 2 2" xfId="32768" xr:uid="{00000000-0005-0000-0000-00009C7B0000}"/>
    <cellStyle name="Note 2 4 3 2 3 2 3" xfId="32685" xr:uid="{00000000-0005-0000-0000-00009D7B0000}"/>
    <cellStyle name="Note 2 4 3 2 3 3" xfId="32689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3" xr:uid="{00000000-0005-0000-0000-0000A27B0000}"/>
    <cellStyle name="Note 2 4 3 2 4 2 2" xfId="33657" xr:uid="{00000000-0005-0000-0000-0000A37B0000}"/>
    <cellStyle name="Note 2 4 3 2 4 3" xfId="32712" xr:uid="{00000000-0005-0000-0000-0000A47B0000}"/>
    <cellStyle name="Note 2 4 3 2 5" xfId="32335" xr:uid="{00000000-0005-0000-0000-0000A57B0000}"/>
    <cellStyle name="Note 2 4 3 2 5 2" xfId="32728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09" xr:uid="{00000000-0005-0000-0000-0000AA7B0000}"/>
    <cellStyle name="Note 2 4 3 3 2 2 2" xfId="33876" xr:uid="{00000000-0005-0000-0000-0000AB7B0000}"/>
    <cellStyle name="Note 2 4 3 3 2 2 2 2" xfId="4545" xr:uid="{00000000-0005-0000-0000-0000AC7B0000}"/>
    <cellStyle name="Note 2 4 3 3 2 2 3" xfId="32955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7" xr:uid="{00000000-0005-0000-0000-0000B07B0000}"/>
    <cellStyle name="Note 2 4 3 3 3" xfId="9866" xr:uid="{00000000-0005-0000-0000-0000B17B0000}"/>
    <cellStyle name="Note 2 4 3 3 3 2" xfId="33366" xr:uid="{00000000-0005-0000-0000-0000B27B0000}"/>
    <cellStyle name="Note 2 4 3 3 3 2 2" xfId="33480" xr:uid="{00000000-0005-0000-0000-0000B37B0000}"/>
    <cellStyle name="Note 2 4 3 3 3 3" xfId="32912" xr:uid="{00000000-0005-0000-0000-0000B47B0000}"/>
    <cellStyle name="Note 2 4 3 3 4" xfId="23817" xr:uid="{00000000-0005-0000-0000-0000B57B0000}"/>
    <cellStyle name="Note 2 4 3 3 4 2" xfId="33432" xr:uid="{00000000-0005-0000-0000-0000B67B0000}"/>
    <cellStyle name="Note 2 4 3 3 5" xfId="32341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8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2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2" xr:uid="{00000000-0005-0000-0000-0000C57B0000}"/>
    <cellStyle name="Note 2 4 3 7" xfId="32891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7" xr:uid="{00000000-0005-0000-0000-0000D07B0000}"/>
    <cellStyle name="Note 2 4 4 2 3" xfId="30204" xr:uid="{00000000-0005-0000-0000-0000D17B0000}"/>
    <cellStyle name="Note 2 4 4 2 3 2" xfId="32357" xr:uid="{00000000-0005-0000-0000-0000D27B0000}"/>
    <cellStyle name="Note 2 4 4 2 3 2 2" xfId="22383" xr:uid="{00000000-0005-0000-0000-0000D37B0000}"/>
    <cellStyle name="Note 2 4 4 2 3 3" xfId="32358" xr:uid="{00000000-0005-0000-0000-0000D47B0000}"/>
    <cellStyle name="Note 2 4 4 2 4" xfId="32363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5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69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4" xr:uid="{00000000-0005-0000-0000-0000E17B0000}"/>
    <cellStyle name="Note 2 4 4 4 2 2" xfId="32417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8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1" xr:uid="{00000000-0005-0000-0000-0000EA7B0000}"/>
    <cellStyle name="Note 2 4 5 2 2 2 2" xfId="9673" xr:uid="{00000000-0005-0000-0000-0000EB7B0000}"/>
    <cellStyle name="Note 2 4 5 2 2 3" xfId="32402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6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4" xr:uid="{00000000-0005-0000-0000-0000F27B0000}"/>
    <cellStyle name="Note 2 4 5 3 3" xfId="33308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0" xr:uid="{00000000-0005-0000-0000-0000FA7B0000}"/>
    <cellStyle name="Note 2 4 6 2 3" xfId="32714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6" xr:uid="{00000000-0005-0000-0000-0000007C0000}"/>
    <cellStyle name="Note 2 4 7 2 2" xfId="1270" xr:uid="{00000000-0005-0000-0000-0000017C0000}"/>
    <cellStyle name="Note 2 4 7 3" xfId="32409" xr:uid="{00000000-0005-0000-0000-0000027C0000}"/>
    <cellStyle name="Note 2 4 8" xfId="30662" xr:uid="{00000000-0005-0000-0000-0000037C0000}"/>
    <cellStyle name="Note 2 4 8 2" xfId="32888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0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2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1" xr:uid="{00000000-0005-0000-0000-00001A7C0000}"/>
    <cellStyle name="Note 2 5 2 2 3 2 2" xfId="32453" xr:uid="{00000000-0005-0000-0000-00001B7C0000}"/>
    <cellStyle name="Note 2 5 2 2 3 2 2 2" xfId="32299" xr:uid="{00000000-0005-0000-0000-00001C7C0000}"/>
    <cellStyle name="Note 2 5 2 2 3 2 3" xfId="33805" xr:uid="{00000000-0005-0000-0000-00001D7C0000}"/>
    <cellStyle name="Note 2 5 2 2 3 3" xfId="32455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0" xr:uid="{00000000-0005-0000-0000-0000227C0000}"/>
    <cellStyle name="Note 2 5 2 2 4 2 2" xfId="33830" xr:uid="{00000000-0005-0000-0000-0000237C0000}"/>
    <cellStyle name="Note 2 5 2 2 4 3" xfId="32457" xr:uid="{00000000-0005-0000-0000-0000247C0000}"/>
    <cellStyle name="Note 2 5 2 2 5" xfId="31895" xr:uid="{00000000-0005-0000-0000-0000257C0000}"/>
    <cellStyle name="Note 2 5 2 2 5 2" xfId="28145" xr:uid="{00000000-0005-0000-0000-0000267C0000}"/>
    <cellStyle name="Note 2 5 2 2 6" xfId="33730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3" xr:uid="{00000000-0005-0000-0000-00002A7C0000}"/>
    <cellStyle name="Note 2 5 2 3 2 2 2" xfId="33321" xr:uid="{00000000-0005-0000-0000-00002B7C0000}"/>
    <cellStyle name="Note 2 5 2 3 2 2 2 2" xfId="32517" xr:uid="{00000000-0005-0000-0000-00002C7C0000}"/>
    <cellStyle name="Note 2 5 2 3 2 2 3" xfId="32521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1" xr:uid="{00000000-0005-0000-0000-0000327C0000}"/>
    <cellStyle name="Note 2 5 2 3 3 2 2" xfId="32463" xr:uid="{00000000-0005-0000-0000-0000337C0000}"/>
    <cellStyle name="Note 2 5 2 3 3 3" xfId="32464" xr:uid="{00000000-0005-0000-0000-0000347C0000}"/>
    <cellStyle name="Note 2 5 2 3 4" xfId="30211" xr:uid="{00000000-0005-0000-0000-0000357C0000}"/>
    <cellStyle name="Note 2 5 2 3 4 2" xfId="33326" xr:uid="{00000000-0005-0000-0000-0000367C0000}"/>
    <cellStyle name="Note 2 5 2 3 5" xfId="27647" xr:uid="{00000000-0005-0000-0000-0000377C0000}"/>
    <cellStyle name="Note 2 5 2 4" xfId="32805" xr:uid="{00000000-0005-0000-0000-0000387C0000}"/>
    <cellStyle name="Note 2 5 2 4 2" xfId="11065" xr:uid="{00000000-0005-0000-0000-0000397C0000}"/>
    <cellStyle name="Note 2 5 2 4 2 2" xfId="33995" xr:uid="{00000000-0005-0000-0000-00003A7C0000}"/>
    <cellStyle name="Note 2 5 2 4 2 2 2" xfId="33012" xr:uid="{00000000-0005-0000-0000-00003B7C0000}"/>
    <cellStyle name="Note 2 5 2 4 2 3" xfId="32537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1" xr:uid="{00000000-0005-0000-0000-0000407C0000}"/>
    <cellStyle name="Note 2 5 2 5 2" xfId="33395" xr:uid="{00000000-0005-0000-0000-0000417C0000}"/>
    <cellStyle name="Note 2 5 2 5 2 2" xfId="33067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8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6" xr:uid="{00000000-0005-0000-0000-0000497C0000}"/>
    <cellStyle name="Note 2 5 3 2 2 2" xfId="33809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0" xr:uid="{00000000-0005-0000-0000-00004D7C0000}"/>
    <cellStyle name="Note 2 5 3 2 2 3" xfId="33812" xr:uid="{00000000-0005-0000-0000-00004E7C0000}"/>
    <cellStyle name="Note 2 5 3 2 2 3 2" xfId="31425" xr:uid="{00000000-0005-0000-0000-00004F7C0000}"/>
    <cellStyle name="Note 2 5 3 2 2 4" xfId="33044" xr:uid="{00000000-0005-0000-0000-0000507C0000}"/>
    <cellStyle name="Note 2 5 3 2 3" xfId="32465" xr:uid="{00000000-0005-0000-0000-0000517C0000}"/>
    <cellStyle name="Note 2 5 3 2 3 2" xfId="32466" xr:uid="{00000000-0005-0000-0000-0000527C0000}"/>
    <cellStyle name="Note 2 5 3 2 3 2 2" xfId="32473" xr:uid="{00000000-0005-0000-0000-0000537C0000}"/>
    <cellStyle name="Note 2 5 3 2 3 3" xfId="32475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79" xr:uid="{00000000-0005-0000-0000-0000587C0000}"/>
    <cellStyle name="Note 2 5 3 3 2" xfId="247" xr:uid="{00000000-0005-0000-0000-0000597C0000}"/>
    <cellStyle name="Note 2 5 3 3 2 2" xfId="33847" xr:uid="{00000000-0005-0000-0000-00005A7C0000}"/>
    <cellStyle name="Note 2 5 3 3 2 2 2" xfId="33080" xr:uid="{00000000-0005-0000-0000-00005B7C0000}"/>
    <cellStyle name="Note 2 5 3 3 2 3" xfId="33028" xr:uid="{00000000-0005-0000-0000-00005C7C0000}"/>
    <cellStyle name="Note 2 5 3 3 3" xfId="32480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09" xr:uid="{00000000-0005-0000-0000-0000617C0000}"/>
    <cellStyle name="Note 2 5 3 4 2 2" xfId="33587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1" xr:uid="{00000000-0005-0000-0000-0000687C0000}"/>
    <cellStyle name="Note 2 5 4 2 2" xfId="32483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5" xr:uid="{00000000-0005-0000-0000-00006D7C0000}"/>
    <cellStyle name="Note 2 5 4 2 3 2" xfId="20062" xr:uid="{00000000-0005-0000-0000-00006E7C0000}"/>
    <cellStyle name="Note 2 5 4 2 4" xfId="34004" xr:uid="{00000000-0005-0000-0000-00006F7C0000}"/>
    <cellStyle name="Note 2 5 4 3" xfId="32486" xr:uid="{00000000-0005-0000-0000-0000707C0000}"/>
    <cellStyle name="Note 2 5 4 3 2" xfId="32487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7" xr:uid="{00000000-0005-0000-0000-0000757C0000}"/>
    <cellStyle name="Note 2 5 4 5" xfId="4166" xr:uid="{00000000-0005-0000-0000-0000767C0000}"/>
    <cellStyle name="Note 2 5 5" xfId="32490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0" xr:uid="{00000000-0005-0000-0000-00007B7C0000}"/>
    <cellStyle name="Note 2 5 5 3" xfId="30049" xr:uid="{00000000-0005-0000-0000-00007C7C0000}"/>
    <cellStyle name="Note 2 5 5 3 2" xfId="33334" xr:uid="{00000000-0005-0000-0000-00007D7C0000}"/>
    <cellStyle name="Note 2 5 5 4" xfId="4308" xr:uid="{00000000-0005-0000-0000-00007E7C0000}"/>
    <cellStyle name="Note 2 5 6" xfId="32871" xr:uid="{00000000-0005-0000-0000-00007F7C0000}"/>
    <cellStyle name="Note 2 5 6 2" xfId="27411" xr:uid="{00000000-0005-0000-0000-0000807C0000}"/>
    <cellStyle name="Note 2 5 6 2 2" xfId="32495" xr:uid="{00000000-0005-0000-0000-0000817C0000}"/>
    <cellStyle name="Note 2 5 6 3" xfId="32496" xr:uid="{00000000-0005-0000-0000-0000827C0000}"/>
    <cellStyle name="Note 2 5 7" xfId="33378" xr:uid="{00000000-0005-0000-0000-0000837C0000}"/>
    <cellStyle name="Note 2 5 7 2" xfId="32327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7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499" xr:uid="{00000000-0005-0000-0000-00008E7C0000}"/>
    <cellStyle name="Note 2 6 2 2 2 3 2" xfId="30611" xr:uid="{00000000-0005-0000-0000-00008F7C0000}"/>
    <cellStyle name="Note 2 6 2 2 2 4" xfId="32502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7" xr:uid="{00000000-0005-0000-0000-00009A7C0000}"/>
    <cellStyle name="Note 2 6 2 3 2 2 2" xfId="30287" xr:uid="{00000000-0005-0000-0000-00009B7C0000}"/>
    <cellStyle name="Note 2 6 2 3 2 3" xfId="32611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0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4" xr:uid="{00000000-0005-0000-0000-0000A97C0000}"/>
    <cellStyle name="Note 2 6 3 2 2 2" xfId="31950" xr:uid="{00000000-0005-0000-0000-0000AA7C0000}"/>
    <cellStyle name="Note 2 6 3 2 2 2 2" xfId="32997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1" xr:uid="{00000000-0005-0000-0000-0000B77C0000}"/>
    <cellStyle name="Note 2 6 4 2" xfId="29928" xr:uid="{00000000-0005-0000-0000-0000B87C0000}"/>
    <cellStyle name="Note 2 6 4 2 2" xfId="32121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4" xr:uid="{00000000-0005-0000-0000-0000BF7C0000}"/>
    <cellStyle name="Note 2 6 5 2" xfId="11133" xr:uid="{00000000-0005-0000-0000-0000C07C0000}"/>
    <cellStyle name="Note 2 6 5 2 2" xfId="32511" xr:uid="{00000000-0005-0000-0000-0000C17C0000}"/>
    <cellStyle name="Note 2 6 5 3" xfId="31935" xr:uid="{00000000-0005-0000-0000-0000C27C0000}"/>
    <cellStyle name="Note 2 6 6" xfId="31894" xr:uid="{00000000-0005-0000-0000-0000C37C0000}"/>
    <cellStyle name="Note 2 6 6 2" xfId="32519" xr:uid="{00000000-0005-0000-0000-0000C47C0000}"/>
    <cellStyle name="Note 2 6 7" xfId="32524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3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7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4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1" xr:uid="{00000000-0005-0000-0000-0000D87C0000}"/>
    <cellStyle name="Note 2 7 3 2 2" xfId="33916" xr:uid="{00000000-0005-0000-0000-0000D97C0000}"/>
    <cellStyle name="Note 2 7 3 2 2 2" xfId="32730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3" xr:uid="{00000000-0005-0000-0000-0000DF7C0000}"/>
    <cellStyle name="Note 2 7 4 2" xfId="32374" xr:uid="{00000000-0005-0000-0000-0000E07C0000}"/>
    <cellStyle name="Note 2 7 4 2 2" xfId="31668" xr:uid="{00000000-0005-0000-0000-0000E17C0000}"/>
    <cellStyle name="Note 2 7 4 3" xfId="28636" xr:uid="{00000000-0005-0000-0000-0000E27C0000}"/>
    <cellStyle name="Note 2 7 5" xfId="32219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39" xr:uid="{00000000-0005-0000-0000-0000E77C0000}"/>
    <cellStyle name="Note 2 8 2 2" xfId="33213" xr:uid="{00000000-0005-0000-0000-0000E87C0000}"/>
    <cellStyle name="Note 2 8 2 2 2" xfId="30377" xr:uid="{00000000-0005-0000-0000-0000E97C0000}"/>
    <cellStyle name="Note 2 8 2 2 2 2" xfId="31733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7" xr:uid="{00000000-0005-0000-0000-0000EF7C0000}"/>
    <cellStyle name="Note 2 8 3 2" xfId="32775" xr:uid="{00000000-0005-0000-0000-0000F07C0000}"/>
    <cellStyle name="Note 2 8 3 2 2" xfId="32562" xr:uid="{00000000-0005-0000-0000-0000F17C0000}"/>
    <cellStyle name="Note 2 8 3 3" xfId="28645" xr:uid="{00000000-0005-0000-0000-0000F27C0000}"/>
    <cellStyle name="Note 2 8 4" xfId="32385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7" xr:uid="{00000000-0005-0000-0000-0000FE7C0000}"/>
    <cellStyle name="Note 3 10" xfId="33937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4" xr:uid="{00000000-0005-0000-0000-0000027D0000}"/>
    <cellStyle name="Note 3 2 10" xfId="32591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8" xr:uid="{00000000-0005-0000-0000-00000B7D0000}"/>
    <cellStyle name="Note 3 2 2 2 2 2 2 2 2 2 2" xfId="1127" xr:uid="{00000000-0005-0000-0000-00000C7D0000}"/>
    <cellStyle name="Note 3 2 2 2 2 2 2 2 2 3" xfId="33033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8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6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79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0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8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0" xr:uid="{00000000-0005-0000-0000-0000407D0000}"/>
    <cellStyle name="Note 3 2 2 2 2 5 2 2" xfId="30683" xr:uid="{00000000-0005-0000-0000-0000417D0000}"/>
    <cellStyle name="Note 3 2 2 2 2 5 3" xfId="32168" xr:uid="{00000000-0005-0000-0000-0000427D0000}"/>
    <cellStyle name="Note 3 2 2 2 2 6" xfId="20959" xr:uid="{00000000-0005-0000-0000-0000437D0000}"/>
    <cellStyle name="Note 3 2 2 2 2 6 2" xfId="32660" xr:uid="{00000000-0005-0000-0000-0000447D0000}"/>
    <cellStyle name="Note 3 2 2 2 2 7" xfId="15865" xr:uid="{00000000-0005-0000-0000-0000457D0000}"/>
    <cellStyle name="Note 3 2 2 2 3" xfId="32663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5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2" xr:uid="{00000000-0005-0000-0000-00005D7D0000}"/>
    <cellStyle name="Note 3 2 2 2 3 3 4" xfId="30459" xr:uid="{00000000-0005-0000-0000-00005E7D0000}"/>
    <cellStyle name="Note 3 2 2 2 3 4" xfId="32680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5" xr:uid="{00000000-0005-0000-0000-0000667D0000}"/>
    <cellStyle name="Note 3 2 2 2 4 2" xfId="15759" xr:uid="{00000000-0005-0000-0000-0000677D0000}"/>
    <cellStyle name="Note 3 2 2 2 4 2 2" xfId="32709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19" xr:uid="{00000000-0005-0000-0000-0000757D0000}"/>
    <cellStyle name="Note 3 2 2 2 5" xfId="32721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29" xr:uid="{00000000-0005-0000-0000-00007D7D0000}"/>
    <cellStyle name="Note 3 2 2 2 6" xfId="32737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5" xr:uid="{00000000-0005-0000-0000-0000837D0000}"/>
    <cellStyle name="Note 3 2 2 2 8" xfId="33552" xr:uid="{00000000-0005-0000-0000-0000847D0000}"/>
    <cellStyle name="Note 3 2 2 3" xfId="20494" xr:uid="{00000000-0005-0000-0000-0000857D0000}"/>
    <cellStyle name="Note 3 2 2 3 2" xfId="32743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6" xr:uid="{00000000-0005-0000-0000-00008B7D0000}"/>
    <cellStyle name="Note 3 2 2 3 2 2 2 2 3" xfId="32748" xr:uid="{00000000-0005-0000-0000-00008C7D0000}"/>
    <cellStyle name="Note 3 2 2 3 2 2 2 3" xfId="29020" xr:uid="{00000000-0005-0000-0000-00008D7D0000}"/>
    <cellStyle name="Note 3 2 2 3 2 2 2 3 2" xfId="32750" xr:uid="{00000000-0005-0000-0000-00008E7D0000}"/>
    <cellStyle name="Note 3 2 2 3 2 2 2 4" xfId="32751" xr:uid="{00000000-0005-0000-0000-00008F7D0000}"/>
    <cellStyle name="Note 3 2 2 3 2 2 3" xfId="11739" xr:uid="{00000000-0005-0000-0000-0000907D0000}"/>
    <cellStyle name="Note 3 2 2 3 2 2 3 2" xfId="32897" xr:uid="{00000000-0005-0000-0000-0000917D0000}"/>
    <cellStyle name="Note 3 2 2 3 2 2 3 2 2" xfId="32899" xr:uid="{00000000-0005-0000-0000-0000927D0000}"/>
    <cellStyle name="Note 3 2 2 3 2 2 3 3" xfId="21520" xr:uid="{00000000-0005-0000-0000-0000937D0000}"/>
    <cellStyle name="Note 3 2 2 3 2 2 4" xfId="32929" xr:uid="{00000000-0005-0000-0000-0000947D0000}"/>
    <cellStyle name="Note 3 2 2 3 2 2 4 2" xfId="32423" xr:uid="{00000000-0005-0000-0000-0000957D0000}"/>
    <cellStyle name="Note 3 2 2 3 2 2 5" xfId="32392" xr:uid="{00000000-0005-0000-0000-0000967D0000}"/>
    <cellStyle name="Note 3 2 2 3 2 3" xfId="14176" xr:uid="{00000000-0005-0000-0000-0000977D0000}"/>
    <cellStyle name="Note 3 2 2 3 2 3 2" xfId="32724" xr:uid="{00000000-0005-0000-0000-0000987D0000}"/>
    <cellStyle name="Note 3 2 2 3 2 3 2 2" xfId="33905" xr:uid="{00000000-0005-0000-0000-0000997D0000}"/>
    <cellStyle name="Note 3 2 2 3 2 3 2 2 2" xfId="32754" xr:uid="{00000000-0005-0000-0000-00009A7D0000}"/>
    <cellStyle name="Note 3 2 2 3 2 3 2 3" xfId="33585" xr:uid="{00000000-0005-0000-0000-00009B7D0000}"/>
    <cellStyle name="Note 3 2 2 3 2 3 3" xfId="32725" xr:uid="{00000000-0005-0000-0000-00009C7D0000}"/>
    <cellStyle name="Note 3 2 2 3 2 3 3 2" xfId="33111" xr:uid="{00000000-0005-0000-0000-00009D7D0000}"/>
    <cellStyle name="Note 3 2 2 3 2 3 4" xfId="32435" xr:uid="{00000000-0005-0000-0000-00009E7D0000}"/>
    <cellStyle name="Note 3 2 2 3 2 4" xfId="33310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4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4" xr:uid="{00000000-0005-0000-0000-0000A67D0000}"/>
    <cellStyle name="Note 3 2 2 3 3 2" xfId="14188" xr:uid="{00000000-0005-0000-0000-0000A77D0000}"/>
    <cellStyle name="Note 3 2 2 3 3 2 2" xfId="33748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8" xr:uid="{00000000-0005-0000-0000-0000AE7D0000}"/>
    <cellStyle name="Note 3 2 2 3 3 3" xfId="26277" xr:uid="{00000000-0005-0000-0000-0000AF7D0000}"/>
    <cellStyle name="Note 3 2 2 3 3 3 2" xfId="33403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6" xr:uid="{00000000-0005-0000-0000-0000B37D0000}"/>
    <cellStyle name="Note 3 2 2 3 3 4 2" xfId="30767" xr:uid="{00000000-0005-0000-0000-0000B47D0000}"/>
    <cellStyle name="Note 3 2 2 3 3 5" xfId="31790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0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0" xr:uid="{00000000-0005-0000-0000-0000BC7D0000}"/>
    <cellStyle name="Note 3 2 2 3 4 4" xfId="32108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3" xr:uid="{00000000-0005-0000-0000-0000C07D0000}"/>
    <cellStyle name="Note 3 2 2 3 5 3" xfId="33881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8" xr:uid="{00000000-0005-0000-0000-0000C87D0000}"/>
    <cellStyle name="Note 3 2 2 4 2 2 2 2" xfId="33214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5" xr:uid="{00000000-0005-0000-0000-0000CC7D0000}"/>
    <cellStyle name="Note 3 2 2 4 2 2 3 2" xfId="32776" xr:uid="{00000000-0005-0000-0000-0000CD7D0000}"/>
    <cellStyle name="Note 3 2 2 4 2 2 4" xfId="32383" xr:uid="{00000000-0005-0000-0000-0000CE7D0000}"/>
    <cellStyle name="Note 3 2 2 4 2 3" xfId="33097" xr:uid="{00000000-0005-0000-0000-0000CF7D0000}"/>
    <cellStyle name="Note 3 2 2 4 2 3 2" xfId="26272" xr:uid="{00000000-0005-0000-0000-0000D07D0000}"/>
    <cellStyle name="Note 3 2 2 4 2 3 2 2" xfId="32568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1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4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2" xr:uid="{00000000-0005-0000-0000-0000DC7D0000}"/>
    <cellStyle name="Note 3 2 2 4 3 4" xfId="33194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3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3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3" xr:uid="{00000000-0005-0000-0000-0000F97D0000}"/>
    <cellStyle name="Note 3 2 2 6 3" xfId="33624" xr:uid="{00000000-0005-0000-0000-0000FA7D0000}"/>
    <cellStyle name="Note 3 2 2 6 3 2" xfId="33901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0" xr:uid="{00000000-0005-0000-0000-0000FE7D0000}"/>
    <cellStyle name="Note 3 2 2 7 2 2" xfId="28031" xr:uid="{00000000-0005-0000-0000-0000FF7D0000}"/>
    <cellStyle name="Note 3 2 2 7 3" xfId="32970" xr:uid="{00000000-0005-0000-0000-0000007E0000}"/>
    <cellStyle name="Note 3 2 2 8" xfId="9475" xr:uid="{00000000-0005-0000-0000-0000017E0000}"/>
    <cellStyle name="Note 3 2 2 8 2" xfId="32786" xr:uid="{00000000-0005-0000-0000-0000027E0000}"/>
    <cellStyle name="Note 3 2 2 9" xfId="32795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4" xr:uid="{00000000-0005-0000-0000-0000087E0000}"/>
    <cellStyle name="Note 3 2 3 2 2 2 2 2" xfId="32802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19" xr:uid="{00000000-0005-0000-0000-00000D7E0000}"/>
    <cellStyle name="Note 3 2 3 2 2 2 2 3 2" xfId="6993" xr:uid="{00000000-0005-0000-0000-00000E7E0000}"/>
    <cellStyle name="Note 3 2 3 2 2 2 2 4" xfId="32131" xr:uid="{00000000-0005-0000-0000-00000F7E0000}"/>
    <cellStyle name="Note 3 2 3 2 2 2 3" xfId="9445" xr:uid="{00000000-0005-0000-0000-0000107E0000}"/>
    <cellStyle name="Note 3 2 3 2 2 2 3 2" xfId="33147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4" xr:uid="{00000000-0005-0000-0000-0000147E0000}"/>
    <cellStyle name="Note 3 2 3 2 2 2 4 2" xfId="33859" xr:uid="{00000000-0005-0000-0000-0000157E0000}"/>
    <cellStyle name="Note 3 2 3 2 2 2 5" xfId="33853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3" xr:uid="{00000000-0005-0000-0000-0000197E0000}"/>
    <cellStyle name="Note 3 2 3 2 2 3 2 2 2" xfId="7815" xr:uid="{00000000-0005-0000-0000-00001A7E0000}"/>
    <cellStyle name="Note 3 2 3 2 2 3 2 3" xfId="32764" xr:uid="{00000000-0005-0000-0000-00001B7E0000}"/>
    <cellStyle name="Note 3 2 3 2 2 3 3" xfId="33112" xr:uid="{00000000-0005-0000-0000-00001C7E0000}"/>
    <cellStyle name="Note 3 2 3 2 2 3 3 2" xfId="32822" xr:uid="{00000000-0005-0000-0000-00001D7E0000}"/>
    <cellStyle name="Note 3 2 3 2 2 3 4" xfId="34001" xr:uid="{00000000-0005-0000-0000-00001E7E0000}"/>
    <cellStyle name="Note 3 2 3 2 2 4" xfId="7755" xr:uid="{00000000-0005-0000-0000-00001F7E0000}"/>
    <cellStyle name="Note 3 2 3 2 2 4 2" xfId="32826" xr:uid="{00000000-0005-0000-0000-0000207E0000}"/>
    <cellStyle name="Note 3 2 3 2 2 4 2 2" xfId="32828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0" xr:uid="{00000000-0005-0000-0000-0000247E0000}"/>
    <cellStyle name="Note 3 2 3 2 2 6" xfId="21580" xr:uid="{00000000-0005-0000-0000-0000257E0000}"/>
    <cellStyle name="Note 3 2 3 2 3" xfId="32842" xr:uid="{00000000-0005-0000-0000-0000267E0000}"/>
    <cellStyle name="Note 3 2 3 2 3 2" xfId="31345" xr:uid="{00000000-0005-0000-0000-0000277E0000}"/>
    <cellStyle name="Note 3 2 3 2 3 2 2" xfId="33160" xr:uid="{00000000-0005-0000-0000-0000287E0000}"/>
    <cellStyle name="Note 3 2 3 2 3 2 2 2" xfId="32440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7" xr:uid="{00000000-0005-0000-0000-00002C7E0000}"/>
    <cellStyle name="Note 3 2 3 2 3 2 3 2" xfId="25205" xr:uid="{00000000-0005-0000-0000-00002D7E0000}"/>
    <cellStyle name="Note 3 2 3 2 3 2 4" xfId="32067" xr:uid="{00000000-0005-0000-0000-00002E7E0000}"/>
    <cellStyle name="Note 3 2 3 2 3 3" xfId="3518" xr:uid="{00000000-0005-0000-0000-00002F7E0000}"/>
    <cellStyle name="Note 3 2 3 2 3 3 2" xfId="33517" xr:uid="{00000000-0005-0000-0000-0000307E0000}"/>
    <cellStyle name="Note 3 2 3 2 3 3 2 2" xfId="32845" xr:uid="{00000000-0005-0000-0000-0000317E0000}"/>
    <cellStyle name="Note 3 2 3 2 3 3 3" xfId="32662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4" xr:uid="{00000000-0005-0000-0000-0000367E0000}"/>
    <cellStyle name="Note 3 2 3 2 4 2" xfId="32194" xr:uid="{00000000-0005-0000-0000-0000377E0000}"/>
    <cellStyle name="Note 3 2 3 2 4 2 2" xfId="33695" xr:uid="{00000000-0005-0000-0000-0000387E0000}"/>
    <cellStyle name="Note 3 2 3 2 4 2 2 2" xfId="26864" xr:uid="{00000000-0005-0000-0000-0000397E0000}"/>
    <cellStyle name="Note 3 2 3 2 4 2 3" xfId="32858" xr:uid="{00000000-0005-0000-0000-00003A7E0000}"/>
    <cellStyle name="Note 3 2 3 2 4 3" xfId="26515" xr:uid="{00000000-0005-0000-0000-00003B7E0000}"/>
    <cellStyle name="Note 3 2 3 2 4 3 2" xfId="32065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7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59" xr:uid="{00000000-0005-0000-0000-0000467E0000}"/>
    <cellStyle name="Note 3 2 3 3 2 2" xfId="33574" xr:uid="{00000000-0005-0000-0000-0000477E0000}"/>
    <cellStyle name="Note 3 2 3 3 2 2 2" xfId="32554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5" xr:uid="{00000000-0005-0000-0000-00004C7E0000}"/>
    <cellStyle name="Note 3 2 3 3 2 2 3 2" xfId="32564" xr:uid="{00000000-0005-0000-0000-00004D7E0000}"/>
    <cellStyle name="Note 3 2 3 3 2 2 4" xfId="32565" xr:uid="{00000000-0005-0000-0000-00004E7E0000}"/>
    <cellStyle name="Note 3 2 3 3 2 3" xfId="3554" xr:uid="{00000000-0005-0000-0000-00004F7E0000}"/>
    <cellStyle name="Note 3 2 3 3 2 3 2" xfId="33844" xr:uid="{00000000-0005-0000-0000-0000507E0000}"/>
    <cellStyle name="Note 3 2 3 3 2 3 2 2" xfId="32571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6" xr:uid="{00000000-0005-0000-0000-0000557E0000}"/>
    <cellStyle name="Note 3 2 3 3 3" xfId="30715" xr:uid="{00000000-0005-0000-0000-0000567E0000}"/>
    <cellStyle name="Note 3 2 3 3 3 2" xfId="33005" xr:uid="{00000000-0005-0000-0000-0000577E0000}"/>
    <cellStyle name="Note 3 2 3 3 3 2 2" xfId="33361" xr:uid="{00000000-0005-0000-0000-0000587E0000}"/>
    <cellStyle name="Note 3 2 3 3 3 2 2 2" xfId="33399" xr:uid="{00000000-0005-0000-0000-0000597E0000}"/>
    <cellStyle name="Note 3 2 3 3 3 2 3" xfId="33428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7" xr:uid="{00000000-0005-0000-0000-00005F7E0000}"/>
    <cellStyle name="Note 3 2 3 3 4 2 2" xfId="32075" xr:uid="{00000000-0005-0000-0000-0000607E0000}"/>
    <cellStyle name="Note 3 2 3 3 4 3" xfId="32880" xr:uid="{00000000-0005-0000-0000-0000617E0000}"/>
    <cellStyle name="Note 3 2 3 3 5" xfId="30664" xr:uid="{00000000-0005-0000-0000-0000627E0000}"/>
    <cellStyle name="Note 3 2 3 3 5 2" xfId="33437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0" xr:uid="{00000000-0005-0000-0000-0000667E0000}"/>
    <cellStyle name="Note 3 2 3 4 2 2" xfId="27410" xr:uid="{00000000-0005-0000-0000-0000677E0000}"/>
    <cellStyle name="Note 3 2 3 4 2 2 2" xfId="32494" xr:uid="{00000000-0005-0000-0000-0000687E0000}"/>
    <cellStyle name="Note 3 2 3 4 2 2 2 2" xfId="31069" xr:uid="{00000000-0005-0000-0000-0000697E0000}"/>
    <cellStyle name="Note 3 2 3 4 2 2 3" xfId="33641" xr:uid="{00000000-0005-0000-0000-00006A7E0000}"/>
    <cellStyle name="Note 3 2 3 4 2 3" xfId="3578" xr:uid="{00000000-0005-0000-0000-00006B7E0000}"/>
    <cellStyle name="Note 3 2 3 4 2 3 2" xfId="33927" xr:uid="{00000000-0005-0000-0000-00006C7E0000}"/>
    <cellStyle name="Note 3 2 3 4 2 4" xfId="32898" xr:uid="{00000000-0005-0000-0000-00006D7E0000}"/>
    <cellStyle name="Note 3 2 3 4 3" xfId="33379" xr:uid="{00000000-0005-0000-0000-00006E7E0000}"/>
    <cellStyle name="Note 3 2 3 4 3 2" xfId="5065" xr:uid="{00000000-0005-0000-0000-00006F7E0000}"/>
    <cellStyle name="Note 3 2 3 4 3 2 2" xfId="32138" xr:uid="{00000000-0005-0000-0000-0000707E0000}"/>
    <cellStyle name="Note 3 2 3 4 3 3" xfId="32890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3" xr:uid="{00000000-0005-0000-0000-0000767E0000}"/>
    <cellStyle name="Note 3 2 3 5 2 2" xfId="32518" xr:uid="{00000000-0005-0000-0000-0000777E0000}"/>
    <cellStyle name="Note 3 2 3 5 2 2 2" xfId="7810" xr:uid="{00000000-0005-0000-0000-0000787E0000}"/>
    <cellStyle name="Note 3 2 3 5 2 3" xfId="32893" xr:uid="{00000000-0005-0000-0000-0000797E0000}"/>
    <cellStyle name="Note 3 2 3 5 3" xfId="32523" xr:uid="{00000000-0005-0000-0000-00007A7E0000}"/>
    <cellStyle name="Note 3 2 3 5 3 2" xfId="33643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4" xr:uid="{00000000-0005-0000-0000-00007E7E0000}"/>
    <cellStyle name="Note 3 2 3 6 2 2" xfId="32894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5" xr:uid="{00000000-0005-0000-0000-0000857E0000}"/>
    <cellStyle name="Note 3 2 4 2 2" xfId="30489" xr:uid="{00000000-0005-0000-0000-0000867E0000}"/>
    <cellStyle name="Note 3 2 4 2 2 2" xfId="32153" xr:uid="{00000000-0005-0000-0000-0000877E0000}"/>
    <cellStyle name="Note 3 2 4 2 2 2 2" xfId="32090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4" xr:uid="{00000000-0005-0000-0000-00008D7E0000}"/>
    <cellStyle name="Note 3 2 4 2 2 2 4" xfId="32916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1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6" xr:uid="{00000000-0005-0000-0000-0000977E0000}"/>
    <cellStyle name="Note 3 2 4 2 3 2 2" xfId="30333" xr:uid="{00000000-0005-0000-0000-0000987E0000}"/>
    <cellStyle name="Note 3 2 4 2 3 2 2 2" xfId="31969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3" xr:uid="{00000000-0005-0000-0000-00009C7E0000}"/>
    <cellStyle name="Note 3 2 4 2 3 4" xfId="20213" xr:uid="{00000000-0005-0000-0000-00009D7E0000}"/>
    <cellStyle name="Note 3 2 4 2 4" xfId="32560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6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4" xr:uid="{00000000-0005-0000-0000-0000A77E0000}"/>
    <cellStyle name="Note 3 2 4 3 2 2 2" xfId="24408" xr:uid="{00000000-0005-0000-0000-0000A87E0000}"/>
    <cellStyle name="Note 3 2 4 3 2 2 2 2" xfId="32078" xr:uid="{00000000-0005-0000-0000-0000A97E0000}"/>
    <cellStyle name="Note 3 2 4 3 2 2 3" xfId="33034" xr:uid="{00000000-0005-0000-0000-0000AA7E0000}"/>
    <cellStyle name="Note 3 2 4 3 2 3" xfId="6702" xr:uid="{00000000-0005-0000-0000-0000AB7E0000}"/>
    <cellStyle name="Note 3 2 4 3 2 3 2" xfId="33036" xr:uid="{00000000-0005-0000-0000-0000AC7E0000}"/>
    <cellStyle name="Note 3 2 4 3 2 4" xfId="32592" xr:uid="{00000000-0005-0000-0000-0000AD7E0000}"/>
    <cellStyle name="Note 3 2 4 3 3" xfId="32947" xr:uid="{00000000-0005-0000-0000-0000AE7E0000}"/>
    <cellStyle name="Note 3 2 4 3 3 2" xfId="33359" xr:uid="{00000000-0005-0000-0000-0000AF7E0000}"/>
    <cellStyle name="Note 3 2 4 3 3 2 2" xfId="32950" xr:uid="{00000000-0005-0000-0000-0000B07E0000}"/>
    <cellStyle name="Note 3 2 4 3 3 3" xfId="32594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5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1" xr:uid="{00000000-0005-0000-0000-0000B77E0000}"/>
    <cellStyle name="Note 3 2 4 4 2 2 2" xfId="14311" xr:uid="{00000000-0005-0000-0000-0000B87E0000}"/>
    <cellStyle name="Note 3 2 4 4 2 3" xfId="32962" xr:uid="{00000000-0005-0000-0000-0000B97E0000}"/>
    <cellStyle name="Note 3 2 4 4 3" xfId="30584" xr:uid="{00000000-0005-0000-0000-0000BA7E0000}"/>
    <cellStyle name="Note 3 2 4 4 3 2" xfId="33667" xr:uid="{00000000-0005-0000-0000-0000BB7E0000}"/>
    <cellStyle name="Note 3 2 4 4 4" xfId="28316" xr:uid="{00000000-0005-0000-0000-0000BC7E0000}"/>
    <cellStyle name="Note 3 2 4 5" xfId="32966" xr:uid="{00000000-0005-0000-0000-0000BD7E0000}"/>
    <cellStyle name="Note 3 2 4 5 2" xfId="33398" xr:uid="{00000000-0005-0000-0000-0000BE7E0000}"/>
    <cellStyle name="Note 3 2 4 5 2 2" xfId="32968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2" xr:uid="{00000000-0005-0000-0000-0000C27E0000}"/>
    <cellStyle name="Note 3 2 4 7" xfId="32665" xr:uid="{00000000-0005-0000-0000-0000C37E0000}"/>
    <cellStyle name="Note 3 2 5" xfId="32825" xr:uid="{00000000-0005-0000-0000-0000C47E0000}"/>
    <cellStyle name="Note 3 2 5 2" xfId="32827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1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0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49" xr:uid="{00000000-0005-0000-0000-0000D47E0000}"/>
    <cellStyle name="Note 3 2 5 3" xfId="31188" xr:uid="{00000000-0005-0000-0000-0000D57E0000}"/>
    <cellStyle name="Note 3 2 5 3 2" xfId="33414" xr:uid="{00000000-0005-0000-0000-0000D67E0000}"/>
    <cellStyle name="Note 3 2 5 3 2 2" xfId="32974" xr:uid="{00000000-0005-0000-0000-0000D77E0000}"/>
    <cellStyle name="Note 3 2 5 3 2 2 2" xfId="32849" xr:uid="{00000000-0005-0000-0000-0000D87E0000}"/>
    <cellStyle name="Note 3 2 5 3 2 3" xfId="32284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1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1" xr:uid="{00000000-0005-0000-0000-0000E77E0000}"/>
    <cellStyle name="Note 3 2 6 2 2 2 2" xfId="21308" xr:uid="{00000000-0005-0000-0000-0000E87E0000}"/>
    <cellStyle name="Note 3 2 6 2 2 3" xfId="32837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0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5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3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6" xr:uid="{00000000-0005-0000-0000-0000FB7E0000}"/>
    <cellStyle name="Note 3 2 8" xfId="25662" xr:uid="{00000000-0005-0000-0000-0000FC7E0000}"/>
    <cellStyle name="Note 3 2 8 2" xfId="32995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4" xr:uid="{00000000-0005-0000-0000-0000087F0000}"/>
    <cellStyle name="Note 3 3 2 2 2 2 2 2 2" xfId="33016" xr:uid="{00000000-0005-0000-0000-0000097F0000}"/>
    <cellStyle name="Note 3 3 2 2 2 2 2 2 2 2" xfId="32687" xr:uid="{00000000-0005-0000-0000-00000A7F0000}"/>
    <cellStyle name="Note 3 3 2 2 2 2 2 2 3" xfId="10887" xr:uid="{00000000-0005-0000-0000-00000B7F0000}"/>
    <cellStyle name="Note 3 3 2 2 2 2 2 3" xfId="32434" xr:uid="{00000000-0005-0000-0000-00000C7F0000}"/>
    <cellStyle name="Note 3 3 2 2 2 2 2 3 2" xfId="33018" xr:uid="{00000000-0005-0000-0000-00000D7F0000}"/>
    <cellStyle name="Note 3 3 2 2 2 2 2 4" xfId="33021" xr:uid="{00000000-0005-0000-0000-00000E7F0000}"/>
    <cellStyle name="Note 3 3 2 2 2 2 3" xfId="7880" xr:uid="{00000000-0005-0000-0000-00000F7F0000}"/>
    <cellStyle name="Note 3 3 2 2 2 2 3 2" xfId="33022" xr:uid="{00000000-0005-0000-0000-0000107F0000}"/>
    <cellStyle name="Note 3 3 2 2 2 2 3 2 2" xfId="33027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1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59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7" xr:uid="{00000000-0005-0000-0000-0000407F0000}"/>
    <cellStyle name="Note 3 3 2 2 6" xfId="33057" xr:uid="{00000000-0005-0000-0000-0000417F0000}"/>
    <cellStyle name="Note 3 3 2 2 6 2" xfId="30213" xr:uid="{00000000-0005-0000-0000-0000427F0000}"/>
    <cellStyle name="Note 3 3 2 2 7" xfId="33058" xr:uid="{00000000-0005-0000-0000-0000437F0000}"/>
    <cellStyle name="Note 3 3 2 3" xfId="32928" xr:uid="{00000000-0005-0000-0000-0000447F0000}"/>
    <cellStyle name="Note 3 3 2 3 2" xfId="32076" xr:uid="{00000000-0005-0000-0000-0000457F0000}"/>
    <cellStyle name="Note 3 3 2 3 2 2" xfId="32655" xr:uid="{00000000-0005-0000-0000-0000467F0000}"/>
    <cellStyle name="Note 3 3 2 3 2 2 2" xfId="33070" xr:uid="{00000000-0005-0000-0000-0000477F0000}"/>
    <cellStyle name="Note 3 3 2 3 2 2 2 2" xfId="33071" xr:uid="{00000000-0005-0000-0000-0000487F0000}"/>
    <cellStyle name="Note 3 3 2 3 2 2 2 2 2" xfId="29053" xr:uid="{00000000-0005-0000-0000-0000497F0000}"/>
    <cellStyle name="Note 3 3 2 3 2 2 2 3" xfId="32540" xr:uid="{00000000-0005-0000-0000-00004A7F0000}"/>
    <cellStyle name="Note 3 3 2 3 2 2 3" xfId="33072" xr:uid="{00000000-0005-0000-0000-00004B7F0000}"/>
    <cellStyle name="Note 3 3 2 3 2 2 3 2" xfId="33073" xr:uid="{00000000-0005-0000-0000-00004C7F0000}"/>
    <cellStyle name="Note 3 3 2 3 2 2 4" xfId="32214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5" xr:uid="{00000000-0005-0000-0000-0000507F0000}"/>
    <cellStyle name="Note 3 3 2 3 2 3 3" xfId="33077" xr:uid="{00000000-0005-0000-0000-0000517F0000}"/>
    <cellStyle name="Note 3 3 2 3 2 4" xfId="19299" xr:uid="{00000000-0005-0000-0000-0000527F0000}"/>
    <cellStyle name="Note 3 3 2 3 2 4 2" xfId="32904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8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0" xr:uid="{00000000-0005-0000-0000-0000607F0000}"/>
    <cellStyle name="Note 3 3 2 3 5" xfId="33001" xr:uid="{00000000-0005-0000-0000-0000617F0000}"/>
    <cellStyle name="Note 3 3 2 3 5 2" xfId="30269" xr:uid="{00000000-0005-0000-0000-0000627F0000}"/>
    <cellStyle name="Note 3 3 2 3 6" xfId="32843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2" xr:uid="{00000000-0005-0000-0000-0000687F0000}"/>
    <cellStyle name="Note 3 3 2 4 2 2 3" xfId="32581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1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2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2" xr:uid="{00000000-0005-0000-0000-00007D7F0000}"/>
    <cellStyle name="Note 3 3 2 6 2 2" xfId="29073" xr:uid="{00000000-0005-0000-0000-00007E7F0000}"/>
    <cellStyle name="Note 3 3 2 6 3" xfId="33650" xr:uid="{00000000-0005-0000-0000-00007F7F0000}"/>
    <cellStyle name="Note 3 3 2 7" xfId="22422" xr:uid="{00000000-0005-0000-0000-0000807F0000}"/>
    <cellStyle name="Note 3 3 2 7 2" xfId="33107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8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19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2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1" xr:uid="{00000000-0005-0000-0000-0000A87F0000}"/>
    <cellStyle name="Note 3 3 3 3 2 2 3" xfId="34028" xr:uid="{00000000-0005-0000-0000-0000A97F0000}"/>
    <cellStyle name="Note 3 3 3 3 2 3" xfId="4153" xr:uid="{00000000-0005-0000-0000-0000AA7F0000}"/>
    <cellStyle name="Note 3 3 3 3 2 3 2" xfId="33017" xr:uid="{00000000-0005-0000-0000-0000AB7F0000}"/>
    <cellStyle name="Note 3 3 3 3 2 4" xfId="31934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8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5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7" xr:uid="{00000000-0005-0000-0000-0000BC7F0000}"/>
    <cellStyle name="Note 3 3 3 5 2" xfId="33794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8" xr:uid="{00000000-0005-0000-0000-0000C27F0000}"/>
    <cellStyle name="Note 3 3 4" xfId="34030" xr:uid="{00000000-0005-0000-0000-0000C37F0000}"/>
    <cellStyle name="Note 3 3 4 2" xfId="33201" xr:uid="{00000000-0005-0000-0000-0000C47F0000}"/>
    <cellStyle name="Note 3 3 4 2 2" xfId="32023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4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5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7" xr:uid="{00000000-0005-0000-0000-0000D37F0000}"/>
    <cellStyle name="Note 3 3 4 3" xfId="33123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6" xr:uid="{00000000-0005-0000-0000-0000DC7F0000}"/>
    <cellStyle name="Note 3 3 4 4 2" xfId="32256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29" xr:uid="{00000000-0005-0000-0000-0000E37F0000}"/>
    <cellStyle name="Note 3 3 5 2" xfId="33548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1" xr:uid="{00000000-0005-0000-0000-0000ED7F0000}"/>
    <cellStyle name="Note 3 3 5 3 2 2" xfId="27514" xr:uid="{00000000-0005-0000-0000-0000EE7F0000}"/>
    <cellStyle name="Note 3 3 5 3 3" xfId="32792" xr:uid="{00000000-0005-0000-0000-0000EF7F0000}"/>
    <cellStyle name="Note 3 3 5 4" xfId="31284" xr:uid="{00000000-0005-0000-0000-0000F07F0000}"/>
    <cellStyle name="Note 3 3 5 4 2" xfId="32896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2" xr:uid="{00000000-0005-0000-0000-0000F47F0000}"/>
    <cellStyle name="Note 3 3 6 2 2" xfId="32092" xr:uid="{00000000-0005-0000-0000-0000F57F0000}"/>
    <cellStyle name="Note 3 3 6 2 2 2" xfId="25037" xr:uid="{00000000-0005-0000-0000-0000F67F0000}"/>
    <cellStyle name="Note 3 3 6 2 3" xfId="33174" xr:uid="{00000000-0005-0000-0000-0000F77F0000}"/>
    <cellStyle name="Note 3 3 6 3" xfId="33463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7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1" xr:uid="{00000000-0005-0000-0000-0000FF7F0000}"/>
    <cellStyle name="Note 3 3 8 2" xfId="33179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5" xr:uid="{00000000-0005-0000-0000-000008800000}"/>
    <cellStyle name="Note 3 4 2 2 2 2 2 2 2" xfId="21675" xr:uid="{00000000-0005-0000-0000-000009800000}"/>
    <cellStyle name="Note 3 4 2 2 2 2 2 3" xfId="31693" xr:uid="{00000000-0005-0000-0000-00000A800000}"/>
    <cellStyle name="Note 3 4 2 2 2 2 3" xfId="30258" xr:uid="{00000000-0005-0000-0000-00000B800000}"/>
    <cellStyle name="Note 3 4 2 2 2 2 3 2" xfId="32369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6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8" xr:uid="{00000000-0005-0000-0000-000013800000}"/>
    <cellStyle name="Note 3 4 2 2 2 5" xfId="14160" xr:uid="{00000000-0005-0000-0000-000014800000}"/>
    <cellStyle name="Note 3 4 2 2 3" xfId="33139" xr:uid="{00000000-0005-0000-0000-000015800000}"/>
    <cellStyle name="Note 3 4 2 2 3 2" xfId="33200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1" xr:uid="{00000000-0005-0000-0000-00001C800000}"/>
    <cellStyle name="Note 3 4 2 2 4" xfId="33205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69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4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6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2" xr:uid="{00000000-0005-0000-0000-000031800000}"/>
    <cellStyle name="Note 3 4 2 3 4 2" xfId="28879" xr:uid="{00000000-0005-0000-0000-000032800000}"/>
    <cellStyle name="Note 3 4 2 3 5" xfId="33236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1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5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3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5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8" xr:uid="{00000000-0005-0000-0000-000049800000}"/>
    <cellStyle name="Note 3 4 3 2 2 3" xfId="4631" xr:uid="{00000000-0005-0000-0000-00004A800000}"/>
    <cellStyle name="Note 3 4 3 2 2 3 2" xfId="32807" xr:uid="{00000000-0005-0000-0000-00004B800000}"/>
    <cellStyle name="Note 3 4 3 2 2 4" xfId="33252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4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3" xr:uid="{00000000-0005-0000-0000-000053800000}"/>
    <cellStyle name="Note 3 4 3 3" xfId="33712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1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4" xr:uid="{00000000-0005-0000-0000-00005B800000}"/>
    <cellStyle name="Note 3 4 3 4" xfId="33735" xr:uid="{00000000-0005-0000-0000-00005C800000}"/>
    <cellStyle name="Note 3 4 3 4 2" xfId="33243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29" xr:uid="{00000000-0005-0000-0000-000062800000}"/>
    <cellStyle name="Note 3 4 4" xfId="6429" xr:uid="{00000000-0005-0000-0000-000063800000}"/>
    <cellStyle name="Note 3 4 4 2" xfId="33615" xr:uid="{00000000-0005-0000-0000-000064800000}"/>
    <cellStyle name="Note 3 4 4 2 2" xfId="32296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8" xr:uid="{00000000-0005-0000-0000-00006A800000}"/>
    <cellStyle name="Note 3 4 4 2 4" xfId="33583" xr:uid="{00000000-0005-0000-0000-00006B800000}"/>
    <cellStyle name="Note 3 4 4 3" xfId="32708" xr:uid="{00000000-0005-0000-0000-00006C800000}"/>
    <cellStyle name="Note 3 4 4 3 2" xfId="33319" xr:uid="{00000000-0005-0000-0000-00006D800000}"/>
    <cellStyle name="Note 3 4 4 3 2 2" xfId="25117" xr:uid="{00000000-0005-0000-0000-00006E800000}"/>
    <cellStyle name="Note 3 4 4 3 3" xfId="33525" xr:uid="{00000000-0005-0000-0000-00006F800000}"/>
    <cellStyle name="Note 3 4 4 4" xfId="32509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0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2" xr:uid="{00000000-0005-0000-0000-000077800000}"/>
    <cellStyle name="Note 3 4 5 3" xfId="33325" xr:uid="{00000000-0005-0000-0000-000078800000}"/>
    <cellStyle name="Note 3 4 5 3 2" xfId="33538" xr:uid="{00000000-0005-0000-0000-000079800000}"/>
    <cellStyle name="Note 3 4 5 4" xfId="31314" xr:uid="{00000000-0005-0000-0000-00007A800000}"/>
    <cellStyle name="Note 3 4 6" xfId="31743" xr:uid="{00000000-0005-0000-0000-00007B800000}"/>
    <cellStyle name="Note 3 4 6 2" xfId="33423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4" xr:uid="{00000000-0005-0000-0000-00007F800000}"/>
    <cellStyle name="Note 3 4 7 2" xfId="33357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4" xr:uid="{00000000-0005-0000-0000-000086800000}"/>
    <cellStyle name="Note 3 5 2 2 2 2 2" xfId="31999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5" xr:uid="{00000000-0005-0000-0000-00008A800000}"/>
    <cellStyle name="Note 3 5 2 2 2 3 2" xfId="33297" xr:uid="{00000000-0005-0000-0000-00008B800000}"/>
    <cellStyle name="Note 3 5 2 2 2 4" xfId="30228" xr:uid="{00000000-0005-0000-0000-00008C800000}"/>
    <cellStyle name="Note 3 5 2 2 3" xfId="33337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5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2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6" xr:uid="{00000000-0005-0000-0000-000097800000}"/>
    <cellStyle name="Note 3 5 2 3 2 3" xfId="33924" xr:uid="{00000000-0005-0000-0000-000098800000}"/>
    <cellStyle name="Note 3 5 2 3 3" xfId="33346" xr:uid="{00000000-0005-0000-0000-000099800000}"/>
    <cellStyle name="Note 3 5 2 3 3 2" xfId="30655" xr:uid="{00000000-0005-0000-0000-00009A800000}"/>
    <cellStyle name="Note 3 5 2 3 4" xfId="33347" xr:uid="{00000000-0005-0000-0000-00009B800000}"/>
    <cellStyle name="Note 3 5 2 4" xfId="33350" xr:uid="{00000000-0005-0000-0000-00009C800000}"/>
    <cellStyle name="Note 3 5 2 4 2" xfId="32240" xr:uid="{00000000-0005-0000-0000-00009D800000}"/>
    <cellStyle name="Note 3 5 2 4 2 2" xfId="33363" xr:uid="{00000000-0005-0000-0000-00009E800000}"/>
    <cellStyle name="Note 3 5 2 4 3" xfId="27111" xr:uid="{00000000-0005-0000-0000-00009F800000}"/>
    <cellStyle name="Note 3 5 2 5" xfId="33617" xr:uid="{00000000-0005-0000-0000-0000A0800000}"/>
    <cellStyle name="Note 3 5 2 5 2" xfId="33367" xr:uid="{00000000-0005-0000-0000-0000A1800000}"/>
    <cellStyle name="Note 3 5 2 6" xfId="33222" xr:uid="{00000000-0005-0000-0000-0000A2800000}"/>
    <cellStyle name="Note 3 5 3" xfId="24944" xr:uid="{00000000-0005-0000-0000-0000A3800000}"/>
    <cellStyle name="Note 3 5 3 2" xfId="33757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1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4" xr:uid="{00000000-0005-0000-0000-0000AC800000}"/>
    <cellStyle name="Note 3 5 3 3 2" xfId="27046" xr:uid="{00000000-0005-0000-0000-0000AD800000}"/>
    <cellStyle name="Note 3 5 3 3 2 2" xfId="31843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6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3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7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6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2" xr:uid="{00000000-0005-0000-0000-0000C4800000}"/>
    <cellStyle name="Note 3 6 2 2 2" xfId="32373" xr:uid="{00000000-0005-0000-0000-0000C5800000}"/>
    <cellStyle name="Note 3 6 2 2 2 2" xfId="31667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8" xr:uid="{00000000-0005-0000-0000-0000CC800000}"/>
    <cellStyle name="Note 3 6 2 3 2" xfId="23029" xr:uid="{00000000-0005-0000-0000-0000CD800000}"/>
    <cellStyle name="Note 3 6 2 3 2 2" xfId="33391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4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5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2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2" xr:uid="{00000000-0005-0000-0000-0000E5800000}"/>
    <cellStyle name="Note 3 7 2 2 2 2" xfId="31923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1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2" xr:uid="{00000000-0005-0000-0000-0000F3800000}"/>
    <cellStyle name="Note 3 8 2 2" xfId="26115" xr:uid="{00000000-0005-0000-0000-0000F4800000}"/>
    <cellStyle name="Note 3 8 2 2 2" xfId="31967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4" xr:uid="{00000000-0005-0000-0000-0000FE800000}"/>
    <cellStyle name="Note 4 10" xfId="23813" xr:uid="{00000000-0005-0000-0000-0000FF800000}"/>
    <cellStyle name="Note 4 2" xfId="33439" xr:uid="{00000000-0005-0000-0000-000000810000}"/>
    <cellStyle name="Note 4 2 2" xfId="21883" xr:uid="{00000000-0005-0000-0000-000001810000}"/>
    <cellStyle name="Note 4 2 2 2" xfId="32397" xr:uid="{00000000-0005-0000-0000-000002810000}"/>
    <cellStyle name="Note 4 2 2 2 2" xfId="32933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5" xr:uid="{00000000-0005-0000-0000-000008810000}"/>
    <cellStyle name="Note 4 2 2 2 2 2 2 2 3" xfId="33758" xr:uid="{00000000-0005-0000-0000-000009810000}"/>
    <cellStyle name="Note 4 2 2 2 2 2 2 3" xfId="19560" xr:uid="{00000000-0005-0000-0000-00000A810000}"/>
    <cellStyle name="Note 4 2 2 2 2 2 2 3 2" xfId="33687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1" xr:uid="{00000000-0005-0000-0000-00000F810000}"/>
    <cellStyle name="Note 4 2 2 2 2 2 3 3" xfId="31754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2" xr:uid="{00000000-0005-0000-0000-000017810000}"/>
    <cellStyle name="Note 4 2 2 2 2 3 2 3" xfId="33857" xr:uid="{00000000-0005-0000-0000-000018810000}"/>
    <cellStyle name="Note 4 2 2 2 2 3 3" xfId="33443" xr:uid="{00000000-0005-0000-0000-000019810000}"/>
    <cellStyle name="Note 4 2 2 2 2 3 3 2" xfId="33447" xr:uid="{00000000-0005-0000-0000-00001A810000}"/>
    <cellStyle name="Note 4 2 2 2 2 3 4" xfId="2099" xr:uid="{00000000-0005-0000-0000-00001B810000}"/>
    <cellStyle name="Note 4 2 2 2 2 4" xfId="33244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0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2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2" xr:uid="{00000000-0005-0000-0000-000032810000}"/>
    <cellStyle name="Note 4 2 2 2 4" xfId="6113" xr:uid="{00000000-0005-0000-0000-000033810000}"/>
    <cellStyle name="Note 4 2 2 2 4 2" xfId="33484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1" xr:uid="{00000000-0005-0000-0000-000039810000}"/>
    <cellStyle name="Note 4 2 2 2 4 4" xfId="31544" xr:uid="{00000000-0005-0000-0000-00003A810000}"/>
    <cellStyle name="Note 4 2 2 2 5" xfId="33003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6" xr:uid="{00000000-0005-0000-0000-00003F810000}"/>
    <cellStyle name="Note 4 2 2 2 6 2" xfId="30989" xr:uid="{00000000-0005-0000-0000-000040810000}"/>
    <cellStyle name="Note 4 2 2 2 7" xfId="34011" xr:uid="{00000000-0005-0000-0000-000041810000}"/>
    <cellStyle name="Note 4 2 2 3" xfId="33199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7" xr:uid="{00000000-0005-0000-0000-000048810000}"/>
    <cellStyle name="Note 4 2 2 3 2 2 3" xfId="19359" xr:uid="{00000000-0005-0000-0000-000049810000}"/>
    <cellStyle name="Note 4 2 2 3 2 2 3 2" xfId="33515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8" xr:uid="{00000000-0005-0000-0000-00004E810000}"/>
    <cellStyle name="Note 4 2 2 3 2 3 3" xfId="33565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3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7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1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2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8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3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4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8" xr:uid="{00000000-0005-0000-0000-000088810000}"/>
    <cellStyle name="Note 4 2 3 2 2 2 3" xfId="22077" xr:uid="{00000000-0005-0000-0000-000089810000}"/>
    <cellStyle name="Note 4 2 3 2 2 2 3 2" xfId="32797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0" xr:uid="{00000000-0005-0000-0000-000091810000}"/>
    <cellStyle name="Note 4 2 3 2 2 5" xfId="33154" xr:uid="{00000000-0005-0000-0000-000092810000}"/>
    <cellStyle name="Note 4 2 3 2 3" xfId="32288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6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19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3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7" xr:uid="{00000000-0005-0000-0000-0000AD810000}"/>
    <cellStyle name="Note 4 2 3 3 3 3" xfId="32700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0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8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0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1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5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59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7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7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6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0" xr:uid="{00000000-0005-0000-0000-0000F3810000}"/>
    <cellStyle name="Note 4 2 6 2 2 2" xfId="26845" xr:uid="{00000000-0005-0000-0000-0000F4810000}"/>
    <cellStyle name="Note 4 2 6 2 3" xfId="32586" xr:uid="{00000000-0005-0000-0000-0000F5810000}"/>
    <cellStyle name="Note 4 2 6 3" xfId="33727" xr:uid="{00000000-0005-0000-0000-0000F6810000}"/>
    <cellStyle name="Note 4 2 6 3 2" xfId="30313" xr:uid="{00000000-0005-0000-0000-0000F7810000}"/>
    <cellStyle name="Note 4 2 6 4" xfId="33908" xr:uid="{00000000-0005-0000-0000-0000F8810000}"/>
    <cellStyle name="Note 4 2 7" xfId="17748" xr:uid="{00000000-0005-0000-0000-0000F9810000}"/>
    <cellStyle name="Note 4 2 7 2" xfId="31974" xr:uid="{00000000-0005-0000-0000-0000FA810000}"/>
    <cellStyle name="Note 4 2 7 2 2" xfId="33019" xr:uid="{00000000-0005-0000-0000-0000FB810000}"/>
    <cellStyle name="Note 4 2 7 3" xfId="32757" xr:uid="{00000000-0005-0000-0000-0000FC810000}"/>
    <cellStyle name="Note 4 2 8" xfId="31706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4" xr:uid="{00000000-0005-0000-0000-000000820000}"/>
    <cellStyle name="Note 4 3 2" xfId="31475" xr:uid="{00000000-0005-0000-0000-000001820000}"/>
    <cellStyle name="Note 4 3 2 2" xfId="32596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4" xr:uid="{00000000-0005-0000-0000-00000E820000}"/>
    <cellStyle name="Note 4 3 2 2 2 3 3" xfId="19847" xr:uid="{00000000-0005-0000-0000-00000F820000}"/>
    <cellStyle name="Note 4 3 2 2 2 4" xfId="33372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6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6" xr:uid="{00000000-0005-0000-0000-000020820000}"/>
    <cellStyle name="Note 4 3 2 2 6" xfId="33597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8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4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299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6" xr:uid="{00000000-0005-0000-0000-00005D820000}"/>
    <cellStyle name="Note 4 3 3 5" xfId="23559" xr:uid="{00000000-0005-0000-0000-00005E820000}"/>
    <cellStyle name="Note 4 3 3 5 2" xfId="33923" xr:uid="{00000000-0005-0000-0000-00005F820000}"/>
    <cellStyle name="Note 4 3 3 6" xfId="33527" xr:uid="{00000000-0005-0000-0000-000060820000}"/>
    <cellStyle name="Note 4 3 4" xfId="33344" xr:uid="{00000000-0005-0000-0000-000061820000}"/>
    <cellStyle name="Note 4 3 4 2" xfId="31695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5" xr:uid="{00000000-0005-0000-0000-00007B820000}"/>
    <cellStyle name="Note 4 3 6 3" xfId="28534" xr:uid="{00000000-0005-0000-0000-00007C820000}"/>
    <cellStyle name="Note 4 3 7" xfId="34007" xr:uid="{00000000-0005-0000-0000-00007D820000}"/>
    <cellStyle name="Note 4 3 7 2" xfId="31259" xr:uid="{00000000-0005-0000-0000-00007E820000}"/>
    <cellStyle name="Note 4 3 8" xfId="33041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3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2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1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4" xr:uid="{00000000-0005-0000-0000-000099820000}"/>
    <cellStyle name="Note 4 4 2 4" xfId="32833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3" xr:uid="{00000000-0005-0000-0000-00009E820000}"/>
    <cellStyle name="Note 4 4 2 5 2" xfId="29239" xr:uid="{00000000-0005-0000-0000-00009F820000}"/>
    <cellStyle name="Note 4 4 2 6" xfId="33261" xr:uid="{00000000-0005-0000-0000-0000A0820000}"/>
    <cellStyle name="Note 4 4 3" xfId="4860" xr:uid="{00000000-0005-0000-0000-0000A1820000}"/>
    <cellStyle name="Note 4 4 3 2" xfId="33397" xr:uid="{00000000-0005-0000-0000-0000A2820000}"/>
    <cellStyle name="Note 4 4 3 2 2" xfId="33671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7" xr:uid="{00000000-0005-0000-0000-0000A9820000}"/>
    <cellStyle name="Note 4 4 3 3" xfId="33573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6" xr:uid="{00000000-0005-0000-0000-0000AD820000}"/>
    <cellStyle name="Note 4 4 3 4" xfId="33661" xr:uid="{00000000-0005-0000-0000-0000AE820000}"/>
    <cellStyle name="Note 4 4 3 4 2" xfId="33371" xr:uid="{00000000-0005-0000-0000-0000AF820000}"/>
    <cellStyle name="Note 4 4 3 5" xfId="33820" xr:uid="{00000000-0005-0000-0000-0000B0820000}"/>
    <cellStyle name="Note 4 4 4" xfId="33678" xr:uid="{00000000-0005-0000-0000-0000B1820000}"/>
    <cellStyle name="Note 4 4 4 2" xfId="33689" xr:uid="{00000000-0005-0000-0000-0000B2820000}"/>
    <cellStyle name="Note 4 4 4 2 2" xfId="32954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0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6" xr:uid="{00000000-0005-0000-0000-0000B9820000}"/>
    <cellStyle name="Note 4 4 5 2" xfId="33696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5" xr:uid="{00000000-0005-0000-0000-0000BE820000}"/>
    <cellStyle name="Note 4 4 7" xfId="33042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2" xr:uid="{00000000-0005-0000-0000-0000C4820000}"/>
    <cellStyle name="Note 4 5 2 2 2 2 2" xfId="32549" xr:uid="{00000000-0005-0000-0000-0000C5820000}"/>
    <cellStyle name="Note 4 5 2 2 2 3" xfId="32682" xr:uid="{00000000-0005-0000-0000-0000C6820000}"/>
    <cellStyle name="Note 4 5 2 2 3" xfId="16380" xr:uid="{00000000-0005-0000-0000-0000C7820000}"/>
    <cellStyle name="Note 4 5 2 2 3 2" xfId="33710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7" xr:uid="{00000000-0005-0000-0000-0000D0820000}"/>
    <cellStyle name="Note 4 5 3" xfId="33724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2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1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2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7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39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6" xr:uid="{00000000-0005-0000-0000-0000FE820000}"/>
    <cellStyle name="Note 5 2" xfId="33755" xr:uid="{00000000-0005-0000-0000-0000FF820000}"/>
    <cellStyle name="Note 5 2 2" xfId="34006" xr:uid="{00000000-0005-0000-0000-000000830000}"/>
    <cellStyle name="Note 5 2 2 2" xfId="31266" xr:uid="{00000000-0005-0000-0000-000001830000}"/>
    <cellStyle name="Note 5 2 2 2 2" xfId="33216" xr:uid="{00000000-0005-0000-0000-000002830000}"/>
    <cellStyle name="Note 5 2 2 2 2 2" xfId="33192" xr:uid="{00000000-0005-0000-0000-000003830000}"/>
    <cellStyle name="Note 5 2 2 2 2 2 2" xfId="33898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89" xr:uid="{00000000-0005-0000-0000-000010830000}"/>
    <cellStyle name="Note 5 2 2 2 2 5" xfId="20425" xr:uid="{00000000-0005-0000-0000-000011830000}"/>
    <cellStyle name="Note 5 2 2 2 3" xfId="33771" xr:uid="{00000000-0005-0000-0000-000012830000}"/>
    <cellStyle name="Note 5 2 2 2 3 2" xfId="33779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19" xr:uid="{00000000-0005-0000-0000-000018830000}"/>
    <cellStyle name="Note 5 2 2 2 3 4" xfId="30451" xr:uid="{00000000-0005-0000-0000-000019830000}"/>
    <cellStyle name="Note 5 2 2 2 4" xfId="33791" xr:uid="{00000000-0005-0000-0000-00001A830000}"/>
    <cellStyle name="Note 5 2 2 2 4 2" xfId="28387" xr:uid="{00000000-0005-0000-0000-00001B830000}"/>
    <cellStyle name="Note 5 2 2 2 4 2 2" xfId="33722" xr:uid="{00000000-0005-0000-0000-00001C830000}"/>
    <cellStyle name="Note 5 2 2 2 4 3" xfId="33053" xr:uid="{00000000-0005-0000-0000-00001D830000}"/>
    <cellStyle name="Note 5 2 2 2 5" xfId="33792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2" xr:uid="{00000000-0005-0000-0000-000027830000}"/>
    <cellStyle name="Note 5 2 2 3 2 3 2" xfId="24563" xr:uid="{00000000-0005-0000-0000-000028830000}"/>
    <cellStyle name="Note 5 2 2 3 2 4" xfId="32762" xr:uid="{00000000-0005-0000-0000-000029830000}"/>
    <cellStyle name="Note 5 2 2 3 3" xfId="4222" xr:uid="{00000000-0005-0000-0000-00002A830000}"/>
    <cellStyle name="Note 5 2 2 3 3 2" xfId="33796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7" xr:uid="{00000000-0005-0000-0000-00002F830000}"/>
    <cellStyle name="Note 5 2 2 3 5" xfId="8719" xr:uid="{00000000-0005-0000-0000-000030830000}"/>
    <cellStyle name="Note 5 2 2 4" xfId="33265" xr:uid="{00000000-0005-0000-0000-000031830000}"/>
    <cellStyle name="Note 5 2 2 4 2" xfId="4686" xr:uid="{00000000-0005-0000-0000-000032830000}"/>
    <cellStyle name="Note 5 2 2 4 2 2" xfId="33981" xr:uid="{00000000-0005-0000-0000-000033830000}"/>
    <cellStyle name="Note 5 2 2 4 2 2 2" xfId="26497" xr:uid="{00000000-0005-0000-0000-000034830000}"/>
    <cellStyle name="Note 5 2 2 4 2 3" xfId="33628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4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5" xr:uid="{00000000-0005-0000-0000-00003E830000}"/>
    <cellStyle name="Note 5 2 2 7" xfId="33806" xr:uid="{00000000-0005-0000-0000-00003F830000}"/>
    <cellStyle name="Note 5 2 3" xfId="30724" xr:uid="{00000000-0005-0000-0000-000040830000}"/>
    <cellStyle name="Note 5 2 3 2" xfId="33659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1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5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8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0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4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3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3" xr:uid="{00000000-0005-0000-0000-00007B830000}"/>
    <cellStyle name="Note 5 2 7" xfId="19451" xr:uid="{00000000-0005-0000-0000-00007C830000}"/>
    <cellStyle name="Note 5 2 7 2" xfId="32080" xr:uid="{00000000-0005-0000-0000-00007D830000}"/>
    <cellStyle name="Note 5 2 8" xfId="31564" xr:uid="{00000000-0005-0000-0000-00007E830000}"/>
    <cellStyle name="Note 5 3" xfId="33106" xr:uid="{00000000-0005-0000-0000-00007F830000}"/>
    <cellStyle name="Note 5 3 2" xfId="34005" xr:uid="{00000000-0005-0000-0000-000080830000}"/>
    <cellStyle name="Note 5 3 2 2" xfId="33329" xr:uid="{00000000-0005-0000-0000-000081830000}"/>
    <cellStyle name="Note 5 3 2 2 2" xfId="32289" xr:uid="{00000000-0005-0000-0000-000082830000}"/>
    <cellStyle name="Note 5 3 2 2 2 2" xfId="29044" xr:uid="{00000000-0005-0000-0000-000083830000}"/>
    <cellStyle name="Note 5 3 2 2 2 2 2" xfId="33172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1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69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89" xr:uid="{00000000-0005-0000-0000-0000A0830000}"/>
    <cellStyle name="Note 5 3 3 2" xfId="26790" xr:uid="{00000000-0005-0000-0000-0000A1830000}"/>
    <cellStyle name="Note 5 3 3 2 2" xfId="31953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1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4" xr:uid="{00000000-0005-0000-0000-0000B0830000}"/>
    <cellStyle name="Note 5 3 4 2" xfId="33843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0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8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3" xr:uid="{00000000-0005-0000-0000-0000CC830000}"/>
    <cellStyle name="Note 5 4 2 4" xfId="26581" xr:uid="{00000000-0005-0000-0000-0000CD830000}"/>
    <cellStyle name="Note 5 4 2 4 2" xfId="33714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8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8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7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7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2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2" xr:uid="{00000000-0005-0000-0000-000001840000}"/>
    <cellStyle name="Note 6 2 2 2 2" xfId="31675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79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4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1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0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2" xr:uid="{00000000-0005-0000-0000-000040840000}"/>
    <cellStyle name="Note 6 3 2 2" xfId="32863" xr:uid="{00000000-0005-0000-0000-000041840000}"/>
    <cellStyle name="Note 6 3 2 2 2" xfId="32265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2" xr:uid="{00000000-0005-0000-0000-000050840000}"/>
    <cellStyle name="Note 6 3 3 2" xfId="33510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6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7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8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0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5" xr:uid="{00000000-0005-0000-0000-000078840000}"/>
    <cellStyle name="Note 6 6 2 2" xfId="30273" xr:uid="{00000000-0005-0000-0000-000079840000}"/>
    <cellStyle name="Note 6 6 3" xfId="32367" xr:uid="{00000000-0005-0000-0000-00007A840000}"/>
    <cellStyle name="Note 6 7" xfId="19465" xr:uid="{00000000-0005-0000-0000-00007B840000}"/>
    <cellStyle name="Note 6 7 2" xfId="32609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8" xr:uid="{00000000-0005-0000-0000-000082840000}"/>
    <cellStyle name="Note 7 2 2 2 2 2" xfId="33740" xr:uid="{00000000-0005-0000-0000-000083840000}"/>
    <cellStyle name="Note 7 2 2 2 2 2 2" xfId="10280" xr:uid="{00000000-0005-0000-0000-000084840000}"/>
    <cellStyle name="Note 7 2 2 2 2 3" xfId="33889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4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0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5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5" xr:uid="{00000000-0005-0000-0000-00009A840000}"/>
    <cellStyle name="Note 7 2 4 3" xfId="32393" xr:uid="{00000000-0005-0000-0000-00009B840000}"/>
    <cellStyle name="Note 7 2 5" xfId="10626" xr:uid="{00000000-0005-0000-0000-00009C840000}"/>
    <cellStyle name="Note 7 2 5 2" xfId="32438" xr:uid="{00000000-0005-0000-0000-00009D840000}"/>
    <cellStyle name="Note 7 2 6" xfId="33899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4" xr:uid="{00000000-0005-0000-0000-0000A2840000}"/>
    <cellStyle name="Note 7 3 2 2 2 2" xfId="33064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6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2" xr:uid="{00000000-0005-0000-0000-0000B3840000}"/>
    <cellStyle name="Note 7 4 3" xfId="22320" xr:uid="{00000000-0005-0000-0000-0000B4840000}"/>
    <cellStyle name="Note 7 4 3 2" xfId="32506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7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4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1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0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5" xr:uid="{00000000-0005-0000-0000-0000CA840000}"/>
    <cellStyle name="Note 8 2 3 3" xfId="32220" xr:uid="{00000000-0005-0000-0000-0000CB840000}"/>
    <cellStyle name="Note 8 2 4" xfId="25309" xr:uid="{00000000-0005-0000-0000-0000CC840000}"/>
    <cellStyle name="Note 8 2 4 2" xfId="32386" xr:uid="{00000000-0005-0000-0000-0000CD840000}"/>
    <cellStyle name="Note 8 2 5" xfId="33473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6" xr:uid="{00000000-0005-0000-0000-0000D1840000}"/>
    <cellStyle name="Note 8 3 2 2 2" xfId="24741" xr:uid="{00000000-0005-0000-0000-0000D2840000}"/>
    <cellStyle name="Note 8 3 2 3" xfId="31914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3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5" xr:uid="{00000000-0005-0000-0000-0000E2840000}"/>
    <cellStyle name="Note 9 2 2 3" xfId="33259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0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7" xr:uid="{00000000-0005-0000-0000-0000EC840000}"/>
    <cellStyle name="Note 9 5" xfId="24634" xr:uid="{00000000-0005-0000-0000-0000ED840000}"/>
    <cellStyle name="Output 2" xfId="26287" xr:uid="{00000000-0005-0000-0000-0000EE840000}"/>
    <cellStyle name="Per cent" xfId="1" builtinId="5"/>
    <cellStyle name="Percent 2" xfId="32443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5" xr:uid="{00000000-0005-0000-0000-0000F5840000}"/>
  </cellStyles>
  <dxfs count="423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2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7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V369" totalsRowShown="0" headerRowDxfId="422" dataDxfId="420" totalsRowDxfId="418" headerRowBorderDxfId="421" tableBorderDxfId="419" totalsRowBorderDxfId="417">
  <autoFilter ref="A1:AV369" xr:uid="{3B203726-2095-49D8-A694-A659B4A14C0A}"/>
  <tableColumns count="48">
    <tableColumn id="1" xr3:uid="{F7796778-DC33-45A7-977B-BCAEA071A396}" name="Date" dataDxfId="416" totalsRowDxfId="415"/>
    <tableColumn id="2" xr3:uid="{1645EAC2-680C-4034-AF09-2BB3C2FE8AFA}" name="Financial Year" dataDxfId="414" totalsRowDxfId="413">
      <calculatedColumnFormula>YEAR(Table13[[#This Row],[Date]])+IF(MONTH(Table13[[#This Row],[Date]])&gt;=4,1,0)</calculatedColumnFormula>
    </tableColumn>
    <tableColumn id="3" xr3:uid="{7631E805-B05B-40CA-A616-816830BBE873}" name="Calendar Year" dataDxfId="412" totalsRowDxfId="411">
      <calculatedColumnFormula>YEAR(Table13[[#This Row],[Date]])</calculatedColumnFormula>
    </tableColumn>
    <tableColumn id="4" xr3:uid="{6B1E4087-5616-4FD4-9645-70099C73DA78}" name="Month Year" dataDxfId="410" totalsRowDxfId="409">
      <calculatedColumnFormula>Table13[[#This Row],[Date]]-DAY(Table13[[#This Row],[Date]])+1</calculatedColumnFormula>
    </tableColumn>
    <tableColumn id="5" xr3:uid="{2A64C063-B02A-4FFD-BD00-1A60A4F93D42}" name="Days" dataDxfId="408" totalsRowDxfId="407">
      <calculatedColumnFormula>DAY(EOMONTH(A2,0))</calculatedColumnFormula>
    </tableColumn>
    <tableColumn id="6" xr3:uid="{6F083B2F-E786-480E-9522-E0D09F574D84}" name="Operating Hours" dataDxfId="406">
      <calculatedColumnFormula>IFERROR(_xlfn.XLOOKUP($A2,'Raw Data'!$G:$G,'Raw Data'!$AM:$AM),"")</calculatedColumnFormula>
    </tableColumn>
    <tableColumn id="7" xr3:uid="{7F7C3380-C282-4387-AF7F-331BD2EC5671}" name="GHI-UP (KWh/m2)" dataDxfId="405" totalsRowDxfId="404">
      <calculatedColumnFormula>IFERROR(_xlfn.XLOOKUP($A2,'Raw Data'!$G:$G,'Raw Data'!$AB:$AB),"")</calculatedColumnFormula>
    </tableColumn>
    <tableColumn id="8" xr3:uid="{1E1F2561-A18F-4A5C-A9DA-D6FA9CE9AA7B}" name="GHI-Down(KWh/m2)" dataDxfId="403" totalsRowDxfId="402"/>
    <tableColumn id="9" xr3:uid="{D358750F-4772-4D11-86AB-6D203CC0361A}" name="POA-UP(KWh/m2)" dataDxfId="401" totalsRowDxfId="400">
      <calculatedColumnFormula>IFERROR(_xlfn.XLOOKUP($A2,'Raw Data'!$G:$G,'Raw Data'!$AC:$AC),"")</calculatedColumnFormula>
    </tableColumn>
    <tableColumn id="10" xr3:uid="{912C5502-E39D-4C8B-BB9E-5C4E6FD75C04}" name="POA-Down(KWh/m2)" dataDxfId="399"/>
    <tableColumn id="11" xr3:uid="{1D81F928-07B6-4A0A-B443-0B67CC59609F}" name="Amb_Temp(°C)" dataDxfId="398" totalsRowDxfId="397">
      <calculatedColumnFormula>IFERROR(_xlfn.XLOOKUP($A2,'Raw Data'!$G:$G,'Raw Data'!AD:AD),"")</calculatedColumnFormula>
    </tableColumn>
    <tableColumn id="12" xr3:uid="{6C051CEF-FE62-4A53-BC99-0DE84A3473CE}" name="Mod_Temp(°C)" dataDxfId="396" totalsRowDxfId="395">
      <calculatedColumnFormula>IFERROR(_xlfn.XLOOKUP($A2,'Raw Data'!$G:$G,'Raw Data'!AE:AE),"")</calculatedColumnFormula>
    </tableColumn>
    <tableColumn id="13" xr3:uid="{26CD3FBD-4000-4645-ABB1-486842731EFB}" name="WS_Avg(m/s)" dataDxfId="394" totalsRowDxfId="393">
      <calculatedColumnFormula>IFERROR(_xlfn.XLOOKUP($A2,'Raw Data'!$G:$G,'Raw Data'!AF:AF),"")</calculatedColumnFormula>
    </tableColumn>
    <tableColumn id="14" xr3:uid="{4502CF1C-A962-4690-8F8D-BD7B9A934EF4}" name="WS_Max(m/s)" dataDxfId="392" totalsRowDxfId="391">
      <calculatedColumnFormula>IFERROR(_xlfn.XLOOKUP($A2,'Raw Data'!$G:$G,'Raw Data'!AG:AG),"")</calculatedColumnFormula>
    </tableColumn>
    <tableColumn id="15" xr3:uid="{E4870E47-0A62-449C-BE0F-53A1957F5C2C}" name="PA(%)" dataDxfId="390" totalsRowDxfId="389">
      <calculatedColumnFormula>IFERROR(1-SUMIF('Plant BD'!$B:$B,$A2,'Plant BD'!$AM:$AM)/($AA2+SUMIF('Plant BD'!$B:$B,$A2,'Plant BD'!$AM:$AM)),"")</calculatedColumnFormula>
    </tableColumn>
    <tableColumn id="16" xr3:uid="{4E785419-8ED7-41C0-8B96-1E7C8BD86D36}" name="MA (%)" dataDxfId="388" totalsRowDxfId="387"/>
    <tableColumn id="17" xr3:uid="{B4666B66-1F5C-4050-818C-D396CDA6A81E}" name="IGA (%)" dataDxfId="386" totalsRowDxfId="385"/>
    <tableColumn id="18" xr3:uid="{736B0840-8499-4C01-8C05-B3918E0EE90C}" name="EGA(%)" dataDxfId="384" totalsRowDxfId="383">
      <calculatedColumnFormula>IFERROR(1-SUMIF('Grid BD'!$B:$B,$A2,'Grid BD'!$AE:$AE)/($AA2+SUMIF('Grid BD'!$B:$B,$A2,'Grid BD'!$AE:$AE)),"")</calculatedColumnFormula>
    </tableColumn>
    <tableColumn id="19" xr3:uid="{88584B4B-645B-4089-BFD4-5705104BAB46}" name="EMA (%)" dataDxfId="382" totalsRowDxfId="381"/>
    <tableColumn id="20" xr3:uid="{3787585B-3315-43BB-9B68-918461B97E6C}" name="TA (%)" dataDxfId="380" totalsRowDxfId="379"/>
    <tableColumn id="21" xr3:uid="{3C046ABD-6319-476F-8017-47FA0631B160}" name="PR(%)" dataDxfId="378" totalsRowDxfId="377">
      <calculatedColumnFormula>IFERROR(AA2/I2/AB2/1000,"")</calculatedColumnFormula>
    </tableColumn>
    <tableColumn id="22" xr3:uid="{6CC0B2DD-11E1-476D-A799-1B172DD7713F}" name="WPR(%)" dataDxfId="376" totalsRowDxfId="375"/>
    <tableColumn id="23" xr3:uid="{E33F43C6-F196-4BC5-9925-089831D6EA72}" name="CUF(%)" dataDxfId="374" totalsRowDxfId="373">
      <calculatedColumnFormula>IFERROR(AA2/(24*AB2*1000),"")</calculatedColumnFormula>
    </tableColumn>
    <tableColumn id="24" xr3:uid="{6775EF12-725C-42A4-932E-34BFFD00A23D}" name="Gen_Exp (kWh)" dataDxfId="372" totalsRowDxfId="371">
      <calculatedColumnFormula>IFERROR(_xlfn.XLOOKUP($A2,'Raw Data'!$G:$G,'Raw Data'!AI:AI),"")</calculatedColumnFormula>
    </tableColumn>
    <tableColumn id="25" xr3:uid="{EC38BC2D-D1BD-4207-A5FE-9AC9B6C96BA2}" name="Mtr_Export (kWh)" dataDxfId="370" totalsRowDxfId="369">
      <calculatedColumnFormula>IFERROR(_xlfn.XLOOKUP($A2,'Raw Data'!$G:$G,'Raw Data'!AJ:AJ),"")</calculatedColumnFormula>
    </tableColumn>
    <tableColumn id="26" xr3:uid="{1A80ED8A-5BC3-464C-8D6E-C673281B31DA}" name="Mtr_Import (kWh)" dataDxfId="368" totalsRowDxfId="367">
      <calculatedColumnFormula>IFERROR(_xlfn.XLOOKUP($A2,'Raw Data'!$G:$G,'Raw Data'!AK:AK),"")</calculatedColumnFormula>
    </tableColumn>
    <tableColumn id="27" xr3:uid="{895BE9FA-524E-4745-8785-7E6B5FD0694C}" name="Mtr_Net_Exp (KWh)" dataDxfId="366">
      <calculatedColumnFormula>IFERROR(_xlfn.XLOOKUP($A2,'Raw Data'!$G:$G,'Raw Data'!$AL:$AL)*(1+(_xlfn.XLOOKUP(Table13[[#This Row],[Month Year]],JMR!$A:$A,JMR!$J:$J))),"")</calculatedColumnFormula>
    </tableColumn>
    <tableColumn id="28" xr3:uid="{94678D68-D96A-4012-80AB-CF82B3DEE361}" name="Operational Capacity (MW)" dataDxfId="365" totalsRowDxfId="364">
      <calculatedColumnFormula>IFERROR(_xlfn.XLOOKUP($A2,'Raw Data'!$G:$G,'Raw Data'!H:H),"")</calculatedColumnFormula>
    </tableColumn>
    <tableColumn id="29" xr3:uid="{BFD6EBC7-DDEB-465F-AFEE-975A82DD55B5}" name="Bugt_Resource" dataDxfId="363" totalsRowDxfId="362">
      <calculatedColumnFormula>IFERROR(_xlfn.XLOOKUP($D2,'Modelling New'!$D:$D,'Modelling New'!P:P),"")</calculatedColumnFormula>
    </tableColumn>
    <tableColumn id="30" xr3:uid="{CF206EA0-58AC-4648-9F3A-51593C8303E5}" name="Bugt_Energy" dataDxfId="361" totalsRowDxfId="360">
      <calculatedColumnFormula>IFERROR(_xlfn.XLOOKUP($D2,'Modelling New'!$D:$D,'Modelling New'!$T:$T)*1000,"")</calculatedColumnFormula>
    </tableColumn>
    <tableColumn id="43" xr3:uid="{AB01BEA0-AEF9-4786-BC15-72C156E33CDE}" name="Bugt PR" dataDxfId="359">
      <calculatedColumnFormula>IFERROR(_xlfn.XLOOKUP($D2,'Modelling New'!$D:$D,'Modelling New'!O:O),"")</calculatedColumnFormula>
    </tableColumn>
    <tableColumn id="42" xr3:uid="{608E303D-FB8D-4BDD-A473-2D6EAA4A9729}" name="Bugt CUF" dataDxfId="358" totalsRowDxfId="357">
      <calculatedColumnFormula>IFERROR(_xlfn.XLOOKUP($D2,'Modelling New'!$D:$D,'Modelling New'!W:W),"")</calculatedColumnFormula>
    </tableColumn>
    <tableColumn id="31" xr3:uid="{8318729F-CD8D-40D8-9B16-A87F35DDBD46}" name="Bugt_PA" dataDxfId="356" totalsRowDxfId="355">
      <calculatedColumnFormula>IFERROR(_xlfn.XLOOKUP($D2,'Modelling New'!$D:$D,'Modelling New'!AE:AE),"")</calculatedColumnFormula>
    </tableColumn>
    <tableColumn id="32" xr3:uid="{CBF2E60F-0BFA-4A9E-893E-D1AF99D8421D}" name="Bugt_EGA" dataDxfId="354" totalsRowDxfId="353">
      <calculatedColumnFormula>IFERROR(_xlfn.XLOOKUP($D2,'Modelling New'!$D:$D,'Modelling New'!AF:AF),"")</calculatedColumnFormula>
    </tableColumn>
    <tableColumn id="33" xr3:uid="{AEDFF627-E5F3-426D-92F9-CD07C8DA508B}" name="Expected Energy" dataDxfId="352" totalsRowDxfId="351"/>
    <tableColumn id="34" xr3:uid="{4CD72ECB-D43F-44F5-9CB3-F8FE64834676}" name="Actual Energy WPR" dataDxfId="350" totalsRowDxfId="349"/>
    <tableColumn id="35" xr3:uid="{68402F75-F4C1-4FC7-9B37-759B9457971B}" name="RA (%)" dataDxfId="348" totalsRowDxfId="347"/>
    <tableColumn id="36" xr3:uid="{CA32920B-1B62-485D-9D1B-AC05765F30E4}" name="Mod Clean Dry (Num)" dataDxfId="346" totalsRowDxfId="345"/>
    <tableColumn id="37" xr3:uid="{C6D3C677-1DEE-4C60-8AB6-622A5F50D491}" name="Mod Clean Wet (Num)" dataDxfId="344" totalsRowDxfId="343"/>
    <tableColumn id="38" xr3:uid="{5E72BC9A-A50C-47F0-A117-504A8BAE4182}" name="Line Loss(%)" dataDxfId="342" totalsRowDxfId="341"/>
    <tableColumn id="39" xr3:uid="{7E41C1FC-B632-42A9-B7A0-29A44D99EB97}" name="Reactive Power (%)" dataDxfId="340"/>
    <tableColumn id="40" xr3:uid="{35EEBDEE-ABCC-48D3-B309-878B28205D1B}" name="Bugt Line loss (%) (Wind)" dataDxfId="339" totalsRowDxfId="338"/>
    <tableColumn id="41" xr3:uid="{CDCAABAD-9FF8-46EA-B8D6-118709A99111}" name="Bugt Reactive Power (%) (Wind)" dataDxfId="337" totalsRowDxfId="336"/>
    <tableColumn id="44" xr3:uid="{8A5F71B2-CFEE-4359-9CBE-5A2E857E9FA5}" name="Bugt Capacity" dataDxfId="335" totalsRowDxfId="334">
      <calculatedColumnFormula>'Basic Data'!$B$98/1000</calculatedColumnFormula>
    </tableColumn>
    <tableColumn id="45" xr3:uid="{355D48CF-198C-45F9-BBC9-7618D8437718}" name="CC*Bugt" dataDxfId="333" totalsRowDxfId="332"/>
    <tableColumn id="47" xr3:uid="{36DCB0CD-2C62-4A05-802C-AA793056F5A0}" name="Operational AC Capacity (MW)" dataDxfId="331" totalsRowDxfId="330">
      <calculatedColumnFormula>IFERROR(_xlfn.XLOOKUP(Table13[[#This Row],[Date]],'Raw Data'!$G:$G,'Raw Data'!$AN:$AN),"")</calculatedColumnFormula>
    </tableColumn>
    <tableColumn id="48" xr3:uid="{A551B8FF-DD1F-4890-B7BD-1664E63D9B68}" name="Bugt AC Capacity (MW)" dataDxfId="329" totalsRowDxfId="328">
      <calculatedColumnFormula>IFERROR(_xlfn.XLOOKUP(Table13[[#This Row],[Month Year]],'Modelling New'!$D:$D,'Modelling New'!$AO:$AO),"")</calculatedColumnFormula>
    </tableColumn>
    <tableColumn id="46" xr3:uid="{43C7A35F-2ADA-499F-BF10-9AE221200236}" name="Curtailment Gen Loss (MWh)" dataDxfId="327" totalsRowDxfId="326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O165" totalsRowShown="0" headerRowDxfId="325" headerRowBorderDxfId="324">
  <sortState xmlns:xlrd2="http://schemas.microsoft.com/office/spreadsheetml/2017/richdata2" ref="A3:AL4">
    <sortCondition ref="G3"/>
  </sortState>
  <tableColumns count="41">
    <tableColumn id="1" xr3:uid="{00000000-0010-0000-0300-000001000000}" name="Finacial Year" dataDxfId="323">
      <calculatedColumnFormula>YEAR(Table3[[#This Row],[Date]])+IF(MONTH(Table3[[#This Row],[Date]])&gt;=4,1,0)</calculatedColumnFormula>
    </tableColumn>
    <tableColumn id="2" xr3:uid="{00000000-0010-0000-0300-000002000000}" name="Calendor Year" dataDxfId="322">
      <calculatedColumnFormula>YEAR(Table3[[#This Row],[Date]])</calculatedColumnFormula>
    </tableColumn>
    <tableColumn id="3" xr3:uid="{00000000-0010-0000-0300-000003000000}" name="Contrcatual Year" dataDxfId="321"/>
    <tableColumn id="4" xr3:uid="{00000000-0010-0000-0300-000004000000}" name="Operating Year" dataDxfId="320"/>
    <tableColumn id="5" xr3:uid="{00000000-0010-0000-0300-000005000000}" name="Month Year" dataDxfId="319">
      <calculatedColumnFormula>TEXT(Table3[[#This Row],[Date]],"mmm-yy")</calculatedColumnFormula>
    </tableColumn>
    <tableColumn id="6" xr3:uid="{00000000-0010-0000-0300-000006000000}" name="Days" dataDxfId="318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317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316"/>
    <tableColumn id="12" xr3:uid="{00000000-0010-0000-0300-00000C000000}" name="Inv2" dataDxfId="315"/>
    <tableColumn id="13" xr3:uid="{00000000-0010-0000-0300-00000D000000}" name="Inv3" dataDxfId="314"/>
    <tableColumn id="17" xr3:uid="{00000000-0010-0000-0300-000011000000}" name="33 kV Outgoinng Export Reading" dataDxfId="313"/>
    <tableColumn id="18" xr3:uid="{00000000-0010-0000-0300-000012000000}" name="33 kV Outgoinng Import Reading" dataDxfId="312"/>
    <tableColumn id="19" xr3:uid="{00000000-0010-0000-0300-000013000000}" name="GHI(Wh/m2)" dataDxfId="311"/>
    <tableColumn id="20" xr3:uid="{00000000-0010-0000-0300-000014000000}" name="POA(kWh/m2)" dataDxfId="310"/>
    <tableColumn id="25" xr3:uid="{00000000-0010-0000-0300-000019000000}" name="Avg. Ambient Temp (POA&gt;20W/m2)" dataDxfId="309"/>
    <tableColumn id="26" xr3:uid="{00000000-0010-0000-0300-00001A000000}" name="Avg. Module Temp (POA&gt;20W/m2)" dataDxfId="308"/>
    <tableColumn id="27" xr3:uid="{00000000-0010-0000-0300-00001B000000}" name="Avg. Wind Speed (m/s)" dataDxfId="307"/>
    <tableColumn id="28" xr3:uid="{00000000-0010-0000-0300-00001C000000}" name="Max. Wind Speed (m/s)" dataDxfId="306"/>
    <tableColumn id="29" xr3:uid="{00000000-0010-0000-0300-00001D000000}" name="Rain Fall (mm)" dataDxfId="305"/>
    <tableColumn id="37" xr3:uid="{00000000-0010-0000-0300-000025000000}" name="Inverters Generation ( kWh)" dataDxfId="304">
      <calculatedColumnFormula>SUM(Table3[[#This Row],[Inv1]:[Inv3]])</calculatedColumnFormula>
    </tableColumn>
    <tableColumn id="30" xr3:uid="{00000000-0010-0000-0300-00001E000000}" name="Export  (kWh)" dataDxfId="303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302"/>
    <tableColumn id="36" xr3:uid="{00000000-0010-0000-0300-000024000000}" name="Net Export (kWh)" dataDxfId="301">
      <calculatedColumnFormula>Table3[[#This Row],[Export  (kWh)]]-Table3[[#This Row],[Import (kWh)]]</calculatedColumnFormula>
    </tableColumn>
    <tableColumn id="31" xr3:uid="{81983493-9B62-4B71-9ECC-814A86E475EA}" name="Operating hours" dataDxfId="300">
      <calculatedColumnFormula>IFERROR((J4-I4)*24,"")</calculatedColumnFormula>
    </tableColumn>
    <tableColumn id="34" xr3:uid="{8478FB4C-44A9-4C5C-8E64-1E70F2A7BE16}" name="Operational AC Capacity (MW)" dataDxfId="299"/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45D0B3-BF9B-404E-8C2D-369EEC93627D}" name="JMR" displayName="JMR" ref="A1:J6" totalsRowShown="0" headerRowDxfId="298" dataDxfId="296" headerRowBorderDxfId="297" tableBorderDxfId="295" totalsRowBorderDxfId="294">
  <autoFilter ref="A1:J6" xr:uid="{8745D0B3-BF9B-404E-8C2D-369EEC93627D}"/>
  <tableColumns count="10">
    <tableColumn id="1" xr3:uid="{F986F57B-CD77-4909-802C-30A7DA5B315E}" name="Month Year" dataDxfId="293"/>
    <tableColumn id="2" xr3:uid="{A789BEED-15CF-4727-85EC-013DD5C1076A}" name="Plant Name" dataDxfId="292"/>
    <tableColumn id="3" xr3:uid="{764166E6-DCEA-455A-A2CB-5C6A160CAB10}" name="Export (kWh)" dataDxfId="291"/>
    <tableColumn id="4" xr3:uid="{06A57332-841A-4FA6-B712-11441AFD89BD}" name="Import (kWh)" dataDxfId="290"/>
    <tableColumn id="5" xr3:uid="{0195D149-731A-4798-8774-F92D958E41F0}" name="Net Export (JMR) (kWh)" dataDxfId="289">
      <calculatedColumnFormula>JMR[[#This Row],[Export (kWh)]]</calculatedColumnFormula>
    </tableColumn>
    <tableColumn id="6" xr3:uid="{81BE2667-FDE0-4B11-A762-32E0F702585D}" name="Billed (kWh)" dataDxfId="288"/>
    <tableColumn id="7" xr3:uid="{513258AA-F563-48B5-8A3C-F2E7A6F3111F}" name="Net Export (Manual) (kWh)" dataDxfId="287">
      <calculatedColumnFormula>SUMIF('Daily KPI'!$D:$D,$A2,'Daily KPI'!$Y:$Y)-SUMIF('Daily KPI'!$D:$D,$A2,'Daily KPI'!$Z:$Z)</calculatedColumnFormula>
    </tableColumn>
    <tableColumn id="8" xr3:uid="{7228E2AA-6536-4074-B6A3-4E8258AC3487}" name="Difference" dataDxfId="286">
      <calculatedColumnFormula>IF(C2="",0,JMR[[#This Row],[Net Export (JMR) (kWh)]]-JMR[[#This Row],[Net Export (Manual) (kWh)]])</calculatedColumnFormula>
    </tableColumn>
    <tableColumn id="9" xr3:uid="{74C0F6C3-09EA-4198-9403-7859AFFA9389}" name="Revised Net Export (Manual) (kWh)" dataDxfId="285">
      <calculatedColumnFormula>SUMIF('Daily KPI'!$D:$D,$A2,'Daily KPI'!$AA:$AA)</calculatedColumnFormula>
    </tableColumn>
    <tableColumn id="10" xr3:uid="{92CDF3C3-3007-4E23-9A72-99AD892D96AC}" name="%Delta" dataDxfId="284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137" totalsRowShown="0" headerRowDxfId="283" dataDxfId="282">
  <tableColumns count="26">
    <tableColumn id="1" xr3:uid="{00000000-0010-0000-0400-000001000000}" name="Finacial Year" dataDxfId="281"/>
    <tableColumn id="2" xr3:uid="{00000000-0010-0000-0400-000002000000}" name="Start Month" dataDxfId="280"/>
    <tableColumn id="3" xr3:uid="{00000000-0010-0000-0400-000003000000}" name="Calendor Year" dataDxfId="279">
      <calculatedColumnFormula>YEAR(Table12[[#This Row],[Date]])</calculatedColumnFormula>
    </tableColumn>
    <tableColumn id="4" xr3:uid="{00000000-0010-0000-0400-000004000000}" name="Contrcatual Year" dataDxfId="278"/>
    <tableColumn id="5" xr3:uid="{00000000-0010-0000-0400-000005000000}" name="Operating Year" dataDxfId="277"/>
    <tableColumn id="6" xr3:uid="{00000000-0010-0000-0400-000006000000}" name="Month Year" dataDxfId="276">
      <calculatedColumnFormula>TEXT(Table12[[#This Row],[Date]],"mmm-yy")</calculatedColumnFormula>
    </tableColumn>
    <tableColumn id="7" xr3:uid="{00000000-0010-0000-0400-000007000000}" name="Days" dataDxfId="275">
      <calculatedColumnFormula>DAY(EOMONTH(F4,0))</calculatedColumnFormula>
    </tableColumn>
    <tableColumn id="8" xr3:uid="{00000000-0010-0000-0400-000008000000}" name="Date" dataDxfId="274">
      <calculatedColumnFormula>H3+1</calculatedColumnFormula>
    </tableColumn>
    <tableColumn id="9" xr3:uid="{00000000-0010-0000-0400-000009000000}" name="Plant DC Capcity (MW)" dataDxfId="273">
      <calculatedColumnFormula>#REF!</calculatedColumnFormula>
    </tableColumn>
    <tableColumn id="13" xr3:uid="{00000000-0010-0000-0400-00000D000000}" name="Inv 1 (630kw) unit 1" dataDxfId="272">
      <calculatedColumnFormula>'Raw Data'!#REF!/Inv_SY!J$2</calculatedColumnFormula>
    </tableColumn>
    <tableColumn id="14" xr3:uid="{00000000-0010-0000-0400-00000E000000}" name="Inv 1 (630kw) unit 2" dataDxfId="271">
      <calculatedColumnFormula>'Raw Data'!#REF!/Inv_SY!K$2</calculatedColumnFormula>
    </tableColumn>
    <tableColumn id="15" xr3:uid="{00000000-0010-0000-0400-00000F000000}" name="Inv 1 (630kw) unit 3" dataDxfId="270">
      <calculatedColumnFormula>'Raw Data'!#REF!/Inv_SY!L$2</calculatedColumnFormula>
    </tableColumn>
    <tableColumn id="18" xr3:uid="{00000000-0010-0000-0400-000012000000}" name="Inv 1 (630kw) unit 4" dataDxfId="269">
      <calculatedColumnFormula>'Raw Data'!#REF!/Inv_SY!M$2</calculatedColumnFormula>
    </tableColumn>
    <tableColumn id="19" xr3:uid="{00000000-0010-0000-0400-000013000000}" name="Inv 2 (630kw) unit 1" dataDxfId="268">
      <calculatedColumnFormula>'Raw Data'!#REF!/Inv_SY!N$2</calculatedColumnFormula>
    </tableColumn>
    <tableColumn id="20" xr3:uid="{00000000-0010-0000-0400-000014000000}" name="Inv 2 (630kw) unit 2" dataDxfId="267">
      <calculatedColumnFormula>'Raw Data'!#REF!/Inv_SY!O$2</calculatedColumnFormula>
    </tableColumn>
    <tableColumn id="21" xr3:uid="{00000000-0010-0000-0400-000015000000}" name="Inv 2 (630kw) unit 3" dataDxfId="266">
      <calculatedColumnFormula>'Raw Data'!#REF!/Inv_SY!P$2</calculatedColumnFormula>
    </tableColumn>
    <tableColumn id="22" xr3:uid="{00000000-0010-0000-0400-000016000000}" name="Inv 2 (630kw) unit 4" dataDxfId="265">
      <calculatedColumnFormula>'Raw Data'!#REF!/Inv_SY!Q$2</calculatedColumnFormula>
    </tableColumn>
    <tableColumn id="23" xr3:uid="{00000000-0010-0000-0400-000017000000}" name="Inv 3 (630kw) unit 1" dataDxfId="264">
      <calculatedColumnFormula>'Raw Data'!#REF!/Inv_SY!R$2</calculatedColumnFormula>
    </tableColumn>
    <tableColumn id="24" xr3:uid="{00000000-0010-0000-0400-000018000000}" name="Inv 3 (630kw) unit 2" dataDxfId="263">
      <calculatedColumnFormula>'Raw Data'!#REF!/Inv_SY!S$2</calculatedColumnFormula>
    </tableColumn>
    <tableColumn id="25" xr3:uid="{00000000-0010-0000-0400-000019000000}" name="Inv 3 (630kw) unit 3" dataDxfId="262">
      <calculatedColumnFormula>'Raw Data'!#REF!/Inv_SY!T$2</calculatedColumnFormula>
    </tableColumn>
    <tableColumn id="26" xr3:uid="{00000000-0010-0000-0400-00001A000000}" name="Inv 3 (630kw) unit 4" dataDxfId="261">
      <calculatedColumnFormula>'Raw Data'!#REF!/Inv_SY!U$2</calculatedColumnFormula>
    </tableColumn>
    <tableColumn id="10" xr3:uid="{00000000-0010-0000-0400-00000A000000}" name="Inv1" dataDxfId="260">
      <calculatedColumnFormula>'Raw Data'!#REF!/Inv_SY!V$2</calculatedColumnFormula>
    </tableColumn>
    <tableColumn id="11" xr3:uid="{00000000-0010-0000-0400-00000B000000}" name="Inv2" dataDxfId="259">
      <calculatedColumnFormula>'Raw Data'!#REF!/Inv_SY!W$2</calculatedColumnFormula>
    </tableColumn>
    <tableColumn id="12" xr3:uid="{00000000-0010-0000-0400-00000C000000}" name="Inv3" dataDxfId="258">
      <calculatedColumnFormula>'Raw Data'!#REF!/Inv_SY!X$2</calculatedColumnFormula>
    </tableColumn>
    <tableColumn id="16" xr3:uid="{00000000-0010-0000-0400-000010000000}" name="Avg. SY" dataDxfId="257">
      <calculatedColumnFormula>IFERROR(AVERAGEIF(V4:X4,"&gt;"&amp;0,V4:X4),"")</calculatedColumnFormula>
    </tableColumn>
    <tableColumn id="17" xr3:uid="{00000000-0010-0000-0400-000011000000}" name="Max. SY" dataDxfId="256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58" totalsRowShown="0" headerRowDxfId="255" dataDxfId="253" headerRowBorderDxfId="254" tableBorderDxfId="252" totalsRowBorderDxfId="251">
  <tableColumns count="39">
    <tableColumn id="1" xr3:uid="{00000000-0010-0000-0600-000001000000}" name="Finacial Year" dataDxfId="250">
      <calculatedColumnFormula>YEAR(Table5[[#This Row],[Date]])+IF(MONTH(Table5[[#This Row],[Date]])&gt;=4,1,0)</calculatedColumnFormula>
    </tableColumn>
    <tableColumn id="2" xr3:uid="{00000000-0010-0000-0600-000002000000}" name="Start Month" dataDxfId="249"/>
    <tableColumn id="3" xr3:uid="{00000000-0010-0000-0600-000003000000}" name="Calendor Year" dataDxfId="248">
      <calculatedColumnFormula>YEAR(Table5[[#This Row],[Date]])</calculatedColumnFormula>
    </tableColumn>
    <tableColumn id="4" xr3:uid="{00000000-0010-0000-0600-000004000000}" name="Contrcatual Year" dataDxfId="247"/>
    <tableColumn id="5" xr3:uid="{00000000-0010-0000-0600-000005000000}" name="Operating Year" dataDxfId="246"/>
    <tableColumn id="6" xr3:uid="{00000000-0010-0000-0600-000006000000}" name="Month Year" dataDxfId="245">
      <calculatedColumnFormula>TEXT(Table5[[#This Row],[Date]],"mmm-yy")</calculatedColumnFormula>
    </tableColumn>
    <tableColumn id="7" xr3:uid="{00000000-0010-0000-0600-000007000000}" name="Days" dataDxfId="244">
      <calculatedColumnFormula>DAY(EOMONTH(F2,0))</calculatedColumnFormula>
    </tableColumn>
    <tableColumn id="8" xr3:uid="{00000000-0010-0000-0600-000008000000}" name="Date" dataDxfId="243">
      <calculatedColumnFormula>H1+1</calculatedColumnFormula>
    </tableColumn>
    <tableColumn id="9" xr3:uid="{00000000-0010-0000-0600-000009000000}" name="Plant DC Capcity (MW)" dataDxfId="242"/>
    <tableColumn id="10" xr3:uid="{00000000-0010-0000-0600-00000A000000}" name="Inv 1 (630kw) unit 1 wrt avg" dataDxfId="241">
      <calculatedColumnFormula>IFERROR(Inv_SY!#REF!/Inv_SY!#REF!-1,"")</calculatedColumnFormula>
    </tableColumn>
    <tableColumn id="11" xr3:uid="{00000000-0010-0000-0600-00000B000000}" name="Inv 1 (630kw) unit 2 wrt avg" dataDxfId="240">
      <calculatedColumnFormula>IFERROR(Inv_SY!#REF!/Inv_SY!#REF!-1,"")</calculatedColumnFormula>
    </tableColumn>
    <tableColumn id="12" xr3:uid="{00000000-0010-0000-0600-00000C000000}" name="Inv 1 (630kw) unit 3 wrt avg" dataDxfId="239">
      <calculatedColumnFormula>IFERROR(Inv_SY!#REF!/Inv_SY!#REF!-1,"")</calculatedColumnFormula>
    </tableColumn>
    <tableColumn id="13" xr3:uid="{00000000-0010-0000-0600-00000D000000}" name="Inv 1 (630kw) unit 4 wrt avg" dataDxfId="238">
      <calculatedColumnFormula>IFERROR(Inv_SY!#REF!/Inv_SY!#REF!-1,"")</calculatedColumnFormula>
    </tableColumn>
    <tableColumn id="14" xr3:uid="{00000000-0010-0000-0600-00000E000000}" name="Inv 2 (630kw) unit 1 wrt avg" dataDxfId="237">
      <calculatedColumnFormula>IFERROR(Inv_SY!#REF!/Inv_SY!#REF!-1,"")</calculatedColumnFormula>
    </tableColumn>
    <tableColumn id="15" xr3:uid="{00000000-0010-0000-0600-00000F000000}" name="Inv 2 (630kw) unit 2 wrt avg" dataDxfId="236">
      <calculatedColumnFormula>IFERROR(Inv_SY!#REF!/Inv_SY!#REF!-1,"")</calculatedColumnFormula>
    </tableColumn>
    <tableColumn id="16" xr3:uid="{00000000-0010-0000-0600-000010000000}" name="Inv 2 (630kw) unit 3 wrt avg" dataDxfId="235">
      <calculatedColumnFormula>IFERROR(Inv_SY!#REF!/Inv_SY!#REF!-1,"")</calculatedColumnFormula>
    </tableColumn>
    <tableColumn id="17" xr3:uid="{00000000-0010-0000-0600-000011000000}" name="Inv 2 (630kw) unit 4 wrt avg" dataDxfId="234">
      <calculatedColumnFormula>IFERROR(Inv_SY!#REF!/Inv_SY!#REF!-1,"")</calculatedColumnFormula>
    </tableColumn>
    <tableColumn id="18" xr3:uid="{00000000-0010-0000-0600-000012000000}" name="Inv 3 (630kw) unit 1 wrt avg" dataDxfId="233">
      <calculatedColumnFormula>IFERROR(Inv_SY!#REF!/Inv_SY!#REF!-1,"")</calculatedColumnFormula>
    </tableColumn>
    <tableColumn id="19" xr3:uid="{00000000-0010-0000-0600-000013000000}" name="Inv 3 (630kw) unit 2 wrt avg" dataDxfId="232">
      <calculatedColumnFormula>IFERROR(Inv_SY!#REF!/Inv_SY!#REF!-1,"")</calculatedColumnFormula>
    </tableColumn>
    <tableColumn id="20" xr3:uid="{00000000-0010-0000-0600-000014000000}" name="Inv 3 (630kw) unit 3 wrt avg" dataDxfId="231">
      <calculatedColumnFormula>IFERROR(Inv_SY!#REF!/Inv_SY!#REF!-1,"")</calculatedColumnFormula>
    </tableColumn>
    <tableColumn id="21" xr3:uid="{00000000-0010-0000-0600-000015000000}" name="Inv 3 (630kw) unit 4 wrt avg" dataDxfId="230">
      <calculatedColumnFormula>IFERROR(Inv_SY!#REF!/Inv_SY!#REF!-1,"")</calculatedColumnFormula>
    </tableColumn>
    <tableColumn id="25" xr3:uid="{00000000-0010-0000-0600-000019000000}" name="Inv 1 (630kw) unit 1 wrt max" dataDxfId="229">
      <calculatedColumnFormula>IFERROR(Inv_SY!#REF!/Inv_SY!#REF!-1,"")</calculatedColumnFormula>
    </tableColumn>
    <tableColumn id="26" xr3:uid="{00000000-0010-0000-0600-00001A000000}" name="Inv 1 (630kw) unit 2 wrt max" dataDxfId="228">
      <calculatedColumnFormula>IFERROR(Inv_SY!#REF!/Inv_SY!#REF!-1,"")</calculatedColumnFormula>
    </tableColumn>
    <tableColumn id="27" xr3:uid="{00000000-0010-0000-0600-00001B000000}" name="Inv 1 (630kw) unit 3 wrt max" dataDxfId="227">
      <calculatedColumnFormula>IFERROR(Inv_SY!#REF!/Inv_SY!#REF!-1,"")</calculatedColumnFormula>
    </tableColumn>
    <tableColumn id="28" xr3:uid="{00000000-0010-0000-0600-00001C000000}" name="Inv 1 (630kw) unit 4 wrt max" dataDxfId="226">
      <calculatedColumnFormula>IFERROR(Inv_SY!#REF!/Inv_SY!#REF!-1,"")</calculatedColumnFormula>
    </tableColumn>
    <tableColumn id="29" xr3:uid="{00000000-0010-0000-0600-00001D000000}" name="Inv 2 (630kw) unit 1 wrt max" dataDxfId="225">
      <calculatedColumnFormula>IFERROR(Inv_SY!#REF!/Inv_SY!#REF!-1,"")</calculatedColumnFormula>
    </tableColumn>
    <tableColumn id="30" xr3:uid="{00000000-0010-0000-0600-00001E000000}" name="Inv 2 (630kw) unit 2 wrt max" dataDxfId="224">
      <calculatedColumnFormula>IFERROR(Inv_SY!#REF!/Inv_SY!#REF!-1,"")</calculatedColumnFormula>
    </tableColumn>
    <tableColumn id="31" xr3:uid="{00000000-0010-0000-0600-00001F000000}" name="Inv 2 (630kw) unit 3 wrt max" dataDxfId="223">
      <calculatedColumnFormula>IFERROR(Inv_SY!#REF!/Inv_SY!#REF!-1,"")</calculatedColumnFormula>
    </tableColumn>
    <tableColumn id="32" xr3:uid="{00000000-0010-0000-0600-000020000000}" name="Inv 2 (630kw) unit 4 wrt max" dataDxfId="222">
      <calculatedColumnFormula>IFERROR(Inv_SY!#REF!/Inv_SY!#REF!-1,"")</calculatedColumnFormula>
    </tableColumn>
    <tableColumn id="33" xr3:uid="{00000000-0010-0000-0600-000021000000}" name="Inv 3 (630kw) unit 1 wrt max" dataDxfId="221">
      <calculatedColumnFormula>IFERROR(Inv_SY!#REF!/Inv_SY!#REF!-1,"")</calculatedColumnFormula>
    </tableColumn>
    <tableColumn id="34" xr3:uid="{00000000-0010-0000-0600-000022000000}" name="Inv 3 (630kw) unit 2 wrt max" dataDxfId="220">
      <calculatedColumnFormula>IFERROR(Inv_SY!#REF!/Inv_SY!#REF!-1,"")</calculatedColumnFormula>
    </tableColumn>
    <tableColumn id="35" xr3:uid="{00000000-0010-0000-0600-000023000000}" name="Inv 3 (630kw) unit 3 wrt max" dataDxfId="219">
      <calculatedColumnFormula>IFERROR(Inv_SY!#REF!/Inv_SY!#REF!-1,"")</calculatedColumnFormula>
    </tableColumn>
    <tableColumn id="36" xr3:uid="{00000000-0010-0000-0600-000024000000}" name="Inv 3 (630kw) unit 4 wrt max" dataDxfId="218">
      <calculatedColumnFormula>IFERROR(Inv_SY!#REF!/Inv_SY!#REF!-1,"")</calculatedColumnFormula>
    </tableColumn>
    <tableColumn id="22" xr3:uid="{00000000-0010-0000-0600-000016000000}" name="Inv1 wrt avg" dataDxfId="217">
      <calculatedColumnFormula>IFERROR(Inv_SY!#REF!/Inv_SY!#REF!-1,"")</calculatedColumnFormula>
    </tableColumn>
    <tableColumn id="23" xr3:uid="{00000000-0010-0000-0600-000017000000}" name="Inv2 wrt avg" dataDxfId="216">
      <calculatedColumnFormula>IFERROR(Inv_SY!#REF!/Inv_SY!#REF!-1,"")</calculatedColumnFormula>
    </tableColumn>
    <tableColumn id="24" xr3:uid="{00000000-0010-0000-0600-000018000000}" name="Inv3 wrt avg" dataDxfId="215">
      <calculatedColumnFormula>IFERROR(Inv_SY!#REF!/Inv_SY!#REF!-1,"")</calculatedColumnFormula>
    </tableColumn>
    <tableColumn id="37" xr3:uid="{00000000-0010-0000-0600-000025000000}" name="Inv1 wrt avg2" dataDxfId="214">
      <calculatedColumnFormula>IFERROR(Inv_SY!#REF!/Inv_SY!#REF!-1,"")</calculatedColumnFormula>
    </tableColumn>
    <tableColumn id="38" xr3:uid="{00000000-0010-0000-0600-000026000000}" name="Inv2 wrt avg3" dataDxfId="213">
      <calculatedColumnFormula>IFERROR(Inv_SY!#REF!/Inv_SY!#REF!-1,"")</calculatedColumnFormula>
    </tableColumn>
    <tableColumn id="39" xr3:uid="{00000000-0010-0000-0600-000027000000}" name="Inv3 wrt avg4" dataDxfId="212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9C8587-E75F-461F-A1BB-0EE29232A8A1}" name="Plant_BD" displayName="Plant_BD" ref="A1:AP237" totalsRowShown="0" headerRowDxfId="211" dataDxfId="209" headerRowBorderDxfId="210" tableBorderDxfId="208" totalsRowBorderDxfId="207">
  <tableColumns count="42">
    <tableColumn id="1" xr3:uid="{43F85AD5-B0AA-40BB-991E-9D614B64A4A5}" name="Sr. No." dataDxfId="206"/>
    <tableColumn id="34" xr3:uid="{7836D813-80FE-40D4-8E6A-8CBE018BC4A7}" name="Date" dataDxfId="205"/>
    <tableColumn id="2" xr3:uid="{55C4C451-9F35-4B6F-ACCF-E3DFDBBE63D0}" name="Financial Year" dataDxfId="204">
      <calculatedColumnFormula>YEAR(Plant_BD[[#This Row],[Date]])+IF(MONTH(Plant_BD[[#This Row],[Date]])&gt;=4,1,0)</calculatedColumnFormula>
    </tableColumn>
    <tableColumn id="3" xr3:uid="{2B57BA41-6DC2-4148-8364-9CB708467DE6}" name="Calendar Year" dataDxfId="203">
      <calculatedColumnFormula>YEAR(Plant_BD[[#This Row],[Date]])</calculatedColumnFormula>
    </tableColumn>
    <tableColumn id="4" xr3:uid="{77606420-ECC4-4681-8040-1FE7460D2BDD}" name="Contractual Year" dataDxfId="202"/>
    <tableColumn id="5" xr3:uid="{5B89C307-1BC5-4ECE-9D18-061E44BB8B0E}" name="Operating Year" dataDxfId="201"/>
    <tableColumn id="6" xr3:uid="{C7AA011A-3AA2-4154-B6FE-D37C18446C94}" name="Month Year" dataDxfId="200">
      <calculatedColumnFormula>Plant_BD[[#This Row],[Date]]-DAY(Plant_BD[[#This Row],[Date]])+1</calculatedColumnFormula>
    </tableColumn>
    <tableColumn id="7" xr3:uid="{C6152164-61D2-448A-90E7-48E115F72E22}" name="Days" dataDxfId="199">
      <calculatedColumnFormula>DAY(EOMONTH(Plant_BD[[#This Row],[Month Year]],0))</calculatedColumnFormula>
    </tableColumn>
    <tableColumn id="26" xr3:uid="{021AE059-10E9-4B9E-9AC0-17107B50F562}" name="Sunrise Time (POA&gt;20 W/m2)" dataDxfId="198">
      <calculatedColumnFormula>_xlfn.XLOOKUP(Plant_BD[[#This Row],[Date]],'Raw Data'!$G:$G,'Raw Data'!$I:$I)</calculatedColumnFormula>
    </tableColumn>
    <tableColumn id="27" xr3:uid="{3587C1CD-EC43-4237-ABA3-45F414921862}" name="Sunset Time (POA&lt;20 W/m2)" dataDxfId="197">
      <calculatedColumnFormula>_xlfn.XLOOKUP(Plant_BD[[#This Row],[Date]],'Raw Data'!$G:$G,'Raw Data'!$J:$J)</calculatedColumnFormula>
    </tableColumn>
    <tableColumn id="28" xr3:uid="{01A027A3-A10C-4B77-A15D-3952B9C39197}" name="Total Generation Time" dataDxfId="196">
      <calculatedColumnFormula>IFERROR((Plant_BD[[#This Row],[Sunset Time (POA&lt;20 W/m2)]]-Plant_BD[[#This Row],[Sunrise Time (POA&gt;20 W/m2)]])*24,"")</calculatedColumnFormula>
    </tableColumn>
    <tableColumn id="42" xr3:uid="{17025B6A-EF34-4538-84CB-32020B50068B}" name="Inverter  Station Number (if Bd in filed)" dataDxfId="195"/>
    <tableColumn id="41" xr3:uid="{78FE5802-0E49-42D7-9FD3-BE06D9813757}" name="Inverter number (If Inv, SCb or Str BD)" dataDxfId="194"/>
    <tableColumn id="40" xr3:uid="{3FF852C3-31CC-42D4-A845-911D9DECBA57}" name="Inverter Module Number" dataDxfId="193"/>
    <tableColumn id="39" xr3:uid="{2A9D514F-8E74-4BC7-B11A-6460122FA079}" name="SCB Number (If SCB or Str BD)" dataDxfId="192"/>
    <tableColumn id="38" xr3:uid="{0F83657F-6BF5-4C20-92BF-D95BF0FD000E}" name="String Type(If String BD)" dataDxfId="191"/>
    <tableColumn id="37" xr3:uid="{6E9D1C2F-A9C4-4BB4-ADD2-85104B5CC9D7}" name="Equipment (If any BD other than PV  array and inv)" dataDxfId="190"/>
    <tableColumn id="36" xr3:uid="{A085D58D-3C7A-4645-8C23-F19916469C8B}" name="C1" dataDxfId="189"/>
    <tableColumn id="35" xr3:uid="{5CA253D5-764A-49EA-A289-4100502898B8}" name="C2" dataDxfId="188"/>
    <tableColumn id="9" xr3:uid="{77ACF8D6-13C3-4D2E-8B6B-4FDACA125A5F}" name="Affected Equipment" dataDxfId="187"/>
    <tableColumn id="10" xr3:uid="{C841DCD2-91E3-4020-A731-DEE0BCAC62E6}" name="DC Capacity Affected (kW)" dataDxfId="186">
      <calculatedColumnFormula>IFERROR(_xlfn.XLOOKUP(Plant_BD[[#This Row],[Affected Equipment]],'Basic Data'!$A:$A,'Basic Data'!$B:$B),"")</calculatedColumnFormula>
    </tableColumn>
    <tableColumn id="29" xr3:uid="{22D717AD-8AA3-4D6D-8B17-4864DE0600E4}" name="Plant Equivalent Weightage" dataDxfId="185">
      <calculatedColumnFormula>IFERROR(_xlfn.XLOOKUP(Plant_BD[[#This Row],[Affected Equipment]],'Basic Data'!$A:$A,'Basic Data'!$C:$C),"")</calculatedColumnFormula>
    </tableColumn>
    <tableColumn id="11" xr3:uid="{7A7F0530-C276-4B31-8A71-6C544B998A87}" name="Affected Equipment Location" dataDxfId="184"/>
    <tableColumn id="12" xr3:uid="{1F2CE62A-772A-4779-8C5E-4BCF1ECC86FA}" name="Fault Category" dataDxfId="183"/>
    <tableColumn id="13" xr3:uid="{30593311-E7A7-4C6A-B3D5-A1A9F33524A5}" name="Fault Code (As per HMI)" dataDxfId="182"/>
    <tableColumn id="14" xr3:uid="{ACC4C432-3A5F-49AC-82AF-FCE204475678}" name="Breakdown Description" dataDxfId="181"/>
    <tableColumn id="15" xr3:uid="{28D81F52-1C82-42FA-899A-87BCA0566C58}" name="Fault Time" dataDxfId="180"/>
    <tableColumn id="16" xr3:uid="{B4F87D8A-3E5A-4403-9232-F619D1809B0F}" name="Acknowledgement Time " dataDxfId="179"/>
    <tableColumn id="17" xr3:uid="{4B1B5EBF-4508-4CCA-8468-101763AA6759}" name="Work Start time on Fault" dataDxfId="178"/>
    <tableColumn id="18" xr3:uid="{05E24053-F182-46EC-AE5E-433F44486EE1}" name="Work Completion time on fault" dataDxfId="177"/>
    <tableColumn id="19" xr3:uid="{480A757A-A5F2-4D24-93C6-7F6047CEC9D2}" name="Acknowledgement time" dataDxfId="176">
      <calculatedColumnFormula>IF(Plant_BD[[#This Row],[Acknowledgement Time ]]="NA","",(Plant_BD[[#This Row],[Acknowledgement Time ]]-Plant_BD[[#This Row],[Fault Time]])*24)</calculatedColumnFormula>
    </tableColumn>
    <tableColumn id="20" xr3:uid="{95852C6D-1146-4836-AF44-92FAB9FEC17F}" name="Response Time" dataDxfId="175">
      <calculatedColumnFormula>IF(Plant_BD[[#This Row],[Work Start time on Fault]]="NA","",(Plant_BD[[#This Row],[Work Start time on Fault]]-Plant_BD[[#This Row],[Fault Time]])*24)</calculatedColumnFormula>
    </tableColumn>
    <tableColumn id="21" xr3:uid="{F033BD30-440D-40D1-91BB-B932CB0EFB4C}" name="Resolution Time" dataDxfId="174">
      <calculatedColumnFormula>(Plant_BD[[#This Row],[Work Completion time on fault]]-Plant_BD[[#This Row],[Fault Time]])*24</calculatedColumnFormula>
    </tableColumn>
    <tableColumn id="30" xr3:uid="{333A11E4-C4D0-4CBF-8914-65D343BA72AB}" name="Breakdown Time" dataDxfId="173">
      <calculatedColumnFormula>IFERROR((Plant_BD[[#This Row],[Work Completion time on fault]]-Plant_BD[[#This Row],[Fault Time]])*24,"")</calculatedColumnFormula>
    </tableColumn>
    <tableColumn id="22" xr3:uid="{66027ECB-8764-49B1-A245-5FC3BB725884}" name="Action taken" dataDxfId="172"/>
    <tableColumn id="23" xr3:uid="{B1194F00-2104-427A-B036-5C5C33A04F5C}" name="Status" dataDxfId="171"/>
    <tableColumn id="31" xr3:uid="{03E7F743-40A8-4016-8EDF-10B2589FE018}" name="Plant Equivalent breakdown" dataDxfId="170">
      <calculatedColumnFormula>IFERROR(Plant_BD[[#This Row],[Breakdown Time]]*Plant_BD[[#This Row],[Plant Equivalent Weightage]],"")</calculatedColumnFormula>
    </tableColumn>
    <tableColumn id="25" xr3:uid="{C1D8A90A-EB08-43A9-AB1A-D8D70221CE96}" name="Lost PoA(kWh/m2)" dataDxfId="169"/>
    <tableColumn id="24" xr3:uid="{5AC31BCD-FACC-44FA-B9B1-DBBDB70EABE5}" name="Approximate Energy Loss (KWh)" dataDxfId="168">
      <calculatedColumnFormula>_xlfn.XLOOKUP($G2,'Modelling New'!$D:$D,'Modelling New'!$O:$O)*Plant_BD[[#This Row],[Lost PoA(kWh/m2)]]*Plant_BD[[#This Row],[DC Capacity Affected (kW)]]</calculatedColumnFormula>
    </tableColumn>
    <tableColumn id="32" xr3:uid="{2BC9F21F-0C70-4130-A153-03F4768EE134}" name="Job Card No." dataDxfId="167"/>
    <tableColumn id="33" xr3:uid="{0F36B947-AFF3-4811-9E92-3EA4D6174F6A}" name="PTW No." dataDxfId="166"/>
    <tableColumn id="43" xr3:uid="{FF0DE457-D63D-4204-946B-3C1BCE279FF0}" name="Scope" dataDxfId="165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A71FE22-234B-4910-907B-F04428C8E8B6}" name="Grid_BD" displayName="Grid_BD" ref="A1:AE72" totalsRowShown="0" headerRowDxfId="164" dataDxfId="163">
  <autoFilter ref="A1:AE72" xr:uid="{2338FC6F-6E6F-4DF9-89B3-6B5E6C20CC58}"/>
  <tableColumns count="31">
    <tableColumn id="1" xr3:uid="{9D3B86E7-B819-4530-9F38-BC49E39D7BCD}" name="Sr. No." dataDxfId="162"/>
    <tableColumn id="2" xr3:uid="{6F67956D-0788-45E7-88FF-8C67149E6EB2}" name="Date" dataDxfId="161"/>
    <tableColumn id="3" xr3:uid="{E50CA6C0-BF0B-41C6-B2A0-DF9431AF342D}" name="Financial Year" dataDxfId="160">
      <calculatedColumnFormula>YEAR(Grid_BD[[#This Row],[Date]])+IF(MONTH(Grid_BD[[#This Row],[Date]])&gt;=4,1,0)</calculatedColumnFormula>
    </tableColumn>
    <tableColumn id="4" xr3:uid="{DFFD5863-F889-46B8-AC65-2AEDF6B50283}" name="Calendar Year" dataDxfId="159">
      <calculatedColumnFormula>YEAR(Grid_BD[[#This Row],[Date]])</calculatedColumnFormula>
    </tableColumn>
    <tableColumn id="5" xr3:uid="{BDDC2892-ED8F-4C5F-A4F8-D8BAC7F9CDAB}" name="Contractual Year" dataDxfId="158"/>
    <tableColumn id="6" xr3:uid="{1B386A6C-03D2-4D50-8817-0FBA4354DB84}" name="Operating Year" dataDxfId="157"/>
    <tableColumn id="7" xr3:uid="{7F4B913D-C2C5-467C-9A92-8EED78170957}" name="Month Year" dataDxfId="156">
      <calculatedColumnFormula>Grid_BD[[#This Row],[Date]]-DAY(Grid_BD[[#This Row],[Date]])+1</calculatedColumnFormula>
    </tableColumn>
    <tableColumn id="8" xr3:uid="{523B4DA1-EF0F-4D88-9B8F-5DFFE85A8081}" name="Days" dataDxfId="155">
      <calculatedColumnFormula>DAY(EOMONTH(Grid_BD[[#This Row],[Month Year]],0))</calculatedColumnFormula>
    </tableColumn>
    <tableColumn id="9" xr3:uid="{7F2764D7-BD45-45C8-9717-0ECA0DC30510}" name="Sunrise Time (POA&gt;20 W/m2)" dataDxfId="154">
      <calculatedColumnFormula>_xlfn.XLOOKUP(Grid_BD[[#This Row],[Date]],'Raw Data'!$G:$G,'Raw Data'!$I:$I)</calculatedColumnFormula>
    </tableColumn>
    <tableColumn id="10" xr3:uid="{9E993A79-6980-403E-A36E-10C56B8AA408}" name="Sunset Time (POA&lt;20 W/m2)" dataDxfId="153">
      <calculatedColumnFormula>_xlfn.XLOOKUP(Grid_BD[[#This Row],[Date]],'Raw Data'!$G:$G,'Raw Data'!$J:$J)</calculatedColumnFormula>
    </tableColumn>
    <tableColumn id="11" xr3:uid="{578A307D-F648-45B4-9D7A-6B00A261B78B}" name="Total Generation Time" dataDxfId="152">
      <calculatedColumnFormula>IFERROR((Grid_BD[[#This Row],[Sunset Time (POA&lt;20 W/m2)]]-Grid_BD[[#This Row],[Sunrise Time (POA&gt;20 W/m2)]])*24,"")</calculatedColumnFormula>
    </tableColumn>
    <tableColumn id="20" xr3:uid="{C2CE038E-2C9E-4B52-A112-48B0F7A857EB}" name="Affected Equipment " dataDxfId="151"/>
    <tableColumn id="21" xr3:uid="{24AFED17-D0CB-4C15-8503-9507C9559839}" name="DC Capacity Affected (kW)" dataDxfId="150"/>
    <tableColumn id="22" xr3:uid="{F4510BE6-B757-4F53-9C4B-70D56C116EE6}" name="Plant Equivalent Weightage" dataDxfId="149">
      <calculatedColumnFormula>IFERROR(VLOOKUP(Grid_BD[[#This Row],[Affected Equipment ]],'Basic Data'!$A$2:$C$118,3,0),"")</calculatedColumnFormula>
    </tableColumn>
    <tableColumn id="23" xr3:uid="{C3604BA3-1106-42CA-ABE4-81CA4F84613B}" name="Affected Equipment Location" dataDxfId="148"/>
    <tableColumn id="24" xr3:uid="{1E5325A6-CB9C-4653-B261-A8922676109B}" name="Fault Category" dataDxfId="147"/>
    <tableColumn id="25" xr3:uid="{FDD726D1-CDF6-4B52-9B0E-A09CA29DE678}" name="Fault Code (As per HMI)" dataDxfId="146"/>
    <tableColumn id="26" xr3:uid="{9EC9AAD6-018D-4E69-8FD0-1F8637828A96}" name="Breakdown Description" dataDxfId="145"/>
    <tableColumn id="27" xr3:uid="{94EB07A7-B0AE-452B-8516-0B8AE339C65B}" name="Fault Time" dataDxfId="144"/>
    <tableColumn id="28" xr3:uid="{ACD05A4E-3247-4A04-894C-7DEDA038DC17}" name="Acknowledgement Time " dataDxfId="143"/>
    <tableColumn id="29" xr3:uid="{6E6493F8-C67E-4D4C-8717-0239B08862F5}" name="Work Start time on Fault" dataDxfId="142"/>
    <tableColumn id="30" xr3:uid="{116EEBEF-F414-485E-BB13-D832641298EA}" name="Work Completion time on fault" dataDxfId="141"/>
    <tableColumn id="31" xr3:uid="{9565D5FC-FED5-4850-B6E9-F8E644550F47}" name="Acknowledgement time" dataDxfId="140"/>
    <tableColumn id="32" xr3:uid="{BFA483D9-7A80-4C6E-9422-639BB8C09481}" name="Response Time" dataDxfId="139"/>
    <tableColumn id="33" xr3:uid="{A713E421-8EFE-4362-BC99-1AFB783102B4}" name="Resolution Time" dataDxfId="138">
      <calculatedColumnFormula>(Grid_BD[[#This Row],[Work Completion time on fault]]-Grid_BD[[#This Row],[Fault Time]])*24</calculatedColumnFormula>
    </tableColumn>
    <tableColumn id="34" xr3:uid="{BAD6B51F-16EF-4616-AA72-B4F6D723152F}" name="Breakdown Time" dataDxfId="137">
      <calculatedColumnFormula>(Grid_BD[[#This Row],[Work Completion time on fault]]-Grid_BD[[#This Row],[Fault Time]])*24</calculatedColumnFormula>
    </tableColumn>
    <tableColumn id="35" xr3:uid="{2ECBDC4B-AC45-4F03-A658-519A4C639048}" name="Action taken" dataDxfId="136"/>
    <tableColumn id="36" xr3:uid="{55836780-7A16-48C7-A30D-58E395EC9760}" name="Status" dataDxfId="135"/>
    <tableColumn id="37" xr3:uid="{A957AA7E-035C-497C-868C-F5E68184B0A2}" name="Plant Equivalent breakdown" dataDxfId="134">
      <calculatedColumnFormula>IFERROR(Grid_BD[[#This Row],[Plant Equivalent Weightage]]*Grid_BD[[#This Row],[Resolution Time]],"")</calculatedColumnFormula>
    </tableColumn>
    <tableColumn id="38" xr3:uid="{1426D023-D3E2-438C-8A3C-5D7B29B67062}" name="Lost PoA(kWh/m2)" dataDxfId="133"/>
    <tableColumn id="39" xr3:uid="{3D1560C3-7244-4AD0-801F-8F36F798D9BD}" name="Approximate Energy Loss (KWh)" dataDxfId="132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131" headerRowBorderDxfId="130">
  <tableColumns count="30">
    <tableColumn id="1" xr3:uid="{00000000-0010-0000-0800-000001000000}" name="Sr. No." dataDxfId="129"/>
    <tableColumn id="2" xr3:uid="{00000000-0010-0000-0800-000002000000}" name="Finacial Year" dataDxfId="128">
      <calculatedColumnFormula>YEAR(Mod_CL[[#This Row],[Date]])+IF(MONTH(Mod_CL[[#This Row],[Date]])&gt;=4,1,0)</calculatedColumnFormula>
    </tableColumn>
    <tableColumn id="3" xr3:uid="{00000000-0010-0000-0800-000003000000}" name="Calendor Year" dataDxfId="127">
      <calculatedColumnFormula>YEAR(Mod_CL[[#This Row],[Date]])</calculatedColumnFormula>
    </tableColumn>
    <tableColumn id="4" xr3:uid="{00000000-0010-0000-0800-000004000000}" name="Contrcatual Year" dataDxfId="126"/>
    <tableColumn id="5" xr3:uid="{00000000-0010-0000-0800-000005000000}" name="Operating Year" dataDxfId="125"/>
    <tableColumn id="6" xr3:uid="{00000000-0010-0000-0800-000006000000}" name="Month Year" dataDxfId="124">
      <calculatedColumnFormula>TEXT(Mod_CL[[#This Row],[Date]],"mmm-yy")</calculatedColumnFormula>
    </tableColumn>
    <tableColumn id="7" xr3:uid="{00000000-0010-0000-0800-000007000000}" name="Days" dataDxfId="123">
      <calculatedColumnFormula>DAY(EOMONTH(Mod_CL[[#This Row],[Month Year]],0))</calculatedColumnFormula>
    </tableColumn>
    <tableColumn id="8" xr3:uid="{00000000-0010-0000-0800-000008000000}" name="Date" dataDxfId="122"/>
    <tableColumn id="9" xr3:uid="{00000000-0010-0000-0800-000009000000}" name="Cycle Number" dataDxfId="121"/>
    <tableColumn id="10" xr3:uid="{00000000-0010-0000-0800-00000A000000}" name="Resources" dataDxfId="120"/>
    <tableColumn id="11" xr3:uid="{00000000-0010-0000-0800-00000B000000}" name="Inv 1 (630kw) unit 1" dataDxfId="119"/>
    <tableColumn id="12" xr3:uid="{00000000-0010-0000-0800-00000C000000}" name="Inv 1 (630kw) unit 2" dataDxfId="118"/>
    <tableColumn id="13" xr3:uid="{00000000-0010-0000-0800-00000D000000}" name="Inv 1 (630kw) unit 3" dataDxfId="117"/>
    <tableColumn id="14" xr3:uid="{00000000-0010-0000-0800-00000E000000}" name="Inv 1 (630kw) unit 4" dataDxfId="116"/>
    <tableColumn id="15" xr3:uid="{00000000-0010-0000-0800-00000F000000}" name="Inv 2 (630kw) unit 1" dataDxfId="115"/>
    <tableColumn id="16" xr3:uid="{00000000-0010-0000-0800-000010000000}" name="Inv 2 (630kw) unit 2" dataDxfId="114"/>
    <tableColumn id="25" xr3:uid="{00000000-0010-0000-0800-000019000000}" name="Inv 2 (630kw) unit 3" dataDxfId="113"/>
    <tableColumn id="26" xr3:uid="{00000000-0010-0000-0800-00001A000000}" name="Inv 2 (630kw) unit 4" dataDxfId="112"/>
    <tableColumn id="27" xr3:uid="{00000000-0010-0000-0800-00001B000000}" name="Inv 3 (630kw) unit 1" dataDxfId="111"/>
    <tableColumn id="28" xr3:uid="{00000000-0010-0000-0800-00001C000000}" name="Inv 3 (630kw) unit 2" dataDxfId="110"/>
    <tableColumn id="29" xr3:uid="{00000000-0010-0000-0800-00001D000000}" name="Inv 3 (630kw) unit 3" dataDxfId="109"/>
    <tableColumn id="30" xr3:uid="{00000000-0010-0000-0800-00001E000000}" name="Inv 3 (630kw) unit 4" dataDxfId="108"/>
    <tableColumn id="17" xr3:uid="{00000000-0010-0000-0800-000011000000}" name="Total NO. Module cleaned" dataDxfId="107">
      <calculatedColumnFormula>SUM(Mod_CL[[#This Row],[Inv 1 (630kw) unit 1]:[Inv 3 (630kw) unit 4]])</calculatedColumnFormula>
    </tableColumn>
    <tableColumn id="18" xr3:uid="{00000000-0010-0000-0800-000012000000}" name="Morning Start Time" dataDxfId="106"/>
    <tableColumn id="19" xr3:uid="{00000000-0010-0000-0800-000013000000}" name="Morning End Time" dataDxfId="105"/>
    <tableColumn id="20" xr3:uid="{00000000-0010-0000-0800-000014000000}" name="Evening Start Time" dataDxfId="104"/>
    <tableColumn id="21" xr3:uid="{00000000-0010-0000-0800-000015000000}" name="Evening End time" dataDxfId="103"/>
    <tableColumn id="22" xr3:uid="{00000000-0010-0000-0800-000016000000}" name="Brush/MOP Replcemnet" dataDxfId="102"/>
    <tableColumn id="24" xr3:uid="{00000000-0010-0000-0800-000018000000}" name="Water Test Report" dataDxfId="101"/>
    <tableColumn id="23" xr3:uid="{00000000-0010-0000-0800-000017000000}" name="Remarks for the day" dataDxfId="10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D9D1A4-A742-4DB9-9425-E2BA7E48A461}" name="Curtailment" displayName="Curtailment" ref="A1:U5" totalsRowShown="0" headerRowDxfId="99" dataDxfId="97" headerRowBorderDxfId="98" tableBorderDxfId="96" totalsRowBorderDxfId="95">
  <autoFilter ref="A1:U5" xr:uid="{81D9D1A4-A742-4DB9-9425-E2BA7E48A461}"/>
  <tableColumns count="21">
    <tableColumn id="1" xr3:uid="{7E5EC5B0-EE3F-4BCE-9524-1D533A397655}" name="Sr. No" dataDxfId="94"/>
    <tableColumn id="2" xr3:uid="{B5F016BD-1DAB-475E-8AA5-43DE7606550A}" name="Month" dataDxfId="93">
      <calculatedColumnFormula>Curtailment[[#This Row],[Date]]-DAY(Curtailment[[#This Row],[Date]])+1</calculatedColumnFormula>
    </tableColumn>
    <tableColumn id="3" xr3:uid="{B438B6DE-8165-4739-9960-CCB22BAFF6F1}" name="Date" dataDxfId="92"/>
    <tableColumn id="4" xr3:uid="{785594FB-31A0-4545-9751-20080F5FAF26}" name="Plant Name" dataDxfId="91"/>
    <tableColumn id="5" xr3:uid="{CB362920-E8F7-4C54-A064-10B15579E827}" name="Category" dataDxfId="90"/>
    <tableColumn id="6" xr3:uid="{5608E788-BF03-4AC2-95D5-56ADB2B0AF3F}" name="Equipment Name" dataDxfId="89"/>
    <tableColumn id="7" xr3:uid="{5762D0A3-D08F-4360-9567-68FED902ADDA}" name="Inverter No." dataDxfId="88"/>
    <tableColumn id="8" xr3:uid="{5435CCFE-0309-4168-AC9A-363AAA7F6DCD}" name="From" dataDxfId="87"/>
    <tableColumn id="9" xr3:uid="{0B8757A1-EB13-4A58-983D-66F349A05B0A}" name="To" dataDxfId="86"/>
    <tableColumn id="10" xr3:uid="{F1A1C445-2825-4282-BC3F-D6419E179C1B}" name="Duration in MIN" dataDxfId="85">
      <calculatedColumnFormula>I2-H2</calculatedColumnFormula>
    </tableColumn>
    <tableColumn id="11" xr3:uid="{F833B248-703C-4A41-8A1F-5A81F234B27C}" name="Total Breakdown Hrs." dataDxfId="84">
      <calculatedColumnFormula>(J2/0.041677)</calculatedColumnFormula>
    </tableColumn>
    <tableColumn id="12" xr3:uid="{436CF720-1BC5-4042-B7D5-1F79C4D7C1F0}" name="Avg POA During BD time" dataDxfId="83"/>
    <tableColumn id="13" xr3:uid="{E86C81B4-4AA2-4D93-B346-422DDD628566}" name="Lost POA" dataDxfId="82"/>
    <tableColumn id="14" xr3:uid="{95E4EB64-1451-495D-86CA-036E478B1B4A}" name="Total POA " dataDxfId="81"/>
    <tableColumn id="15" xr3:uid="{B519D470-CD8A-4BA3-9B1F-CB3678563578}" name="Net POA" dataDxfId="80">
      <calculatedColumnFormula>(N2-M2)</calculatedColumnFormula>
    </tableColumn>
    <tableColumn id="16" xr3:uid="{E669C933-1AA8-4729-816A-D8B0A677F5D6}" name="Loss of Capacity in KWp" dataDxfId="79"/>
    <tableColumn id="17" xr3:uid="{0998C104-1AFC-4E4C-AE39-B0AD03F332BC}" name="Estimated PR % (Pvsyst)" dataDxfId="78"/>
    <tableColumn id="18" xr3:uid="{5B449BB2-575E-4511-B1B0-F7F790626B7B}" name="Loss of Generation kWh" dataDxfId="77" dataCellStyle="Comma">
      <calculatedColumnFormula>(M2*P2*Q2)/100</calculatedColumnFormula>
    </tableColumn>
    <tableColumn id="19" xr3:uid="{356D799A-D7C2-41BD-89B4-94BD383268C2}" name="Remark" dataDxfId="76"/>
    <tableColumn id="20" xr3:uid="{AAFBD219-4028-4AA2-A874-EA4C723C5422}" name="Current Load befor Load Sheeding (AC MW)" dataDxfId="75"/>
    <tableColumn id="21" xr3:uid="{B3908628-2023-4F79-A25C-1C0BBE23E62F}" name="Load to be maintain (AC Mw)" dataDxfId="74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73" dataDxfId="71" headerRowBorderDxfId="72" tableBorderDxfId="70">
  <tableColumns count="15">
    <tableColumn id="1" xr3:uid="{00000000-0010-0000-0900-000001000000}" name="Sr. No." dataDxfId="69"/>
    <tableColumn id="2" xr3:uid="{00000000-0010-0000-0900-000002000000}" name="Finacial Year" dataDxfId="68">
      <calculatedColumnFormula>YEAR(Table911[[#This Row],[Date]])+IF(MONTH(Table911[[#This Row],[Date]])&gt;=4,1,0)</calculatedColumnFormula>
    </tableColumn>
    <tableColumn id="3" xr3:uid="{00000000-0010-0000-0900-000003000000}" name="Calendor Year" dataDxfId="67">
      <calculatedColumnFormula>YEAR(Table911[[#This Row],[Date]])</calculatedColumnFormula>
    </tableColumn>
    <tableColumn id="4" xr3:uid="{00000000-0010-0000-0900-000004000000}" name="Contrcatual Year" dataDxfId="66"/>
    <tableColumn id="5" xr3:uid="{00000000-0010-0000-0900-000005000000}" name="Operating Year" dataDxfId="65"/>
    <tableColumn id="6" xr3:uid="{00000000-0010-0000-0900-000006000000}" name="Month Year" dataDxfId="64">
      <calculatedColumnFormula>TEXT(Table911[[#This Row],[Date]],"mmm-yy")</calculatedColumnFormula>
    </tableColumn>
    <tableColumn id="7" xr3:uid="{00000000-0010-0000-0900-000007000000}" name="Days" dataDxfId="63">
      <calculatedColumnFormula>DAY(EOMONTH(F3,0))</calculatedColumnFormula>
    </tableColumn>
    <tableColumn id="8" xr3:uid="{00000000-0010-0000-0900-000008000000}" name="Date" dataDxfId="62">
      <calculatedColumnFormula>H2+1</calculatedColumnFormula>
    </tableColumn>
    <tableColumn id="9" xr3:uid="{00000000-0010-0000-0900-000009000000}" name="Cycle Number" dataDxfId="61"/>
    <tableColumn id="10" xr3:uid="{00000000-0010-0000-0900-00000A000000}" name="Resources" dataDxfId="60"/>
    <tableColumn id="11" xr3:uid="{00000000-0010-0000-0900-00000B000000}" name="Inv1" dataDxfId="59"/>
    <tableColumn id="12" xr3:uid="{00000000-0010-0000-0900-00000C000000}" name="Inv2" dataDxfId="58"/>
    <tableColumn id="13" xr3:uid="{00000000-0010-0000-0900-00000D000000}" name="Inv3" dataDxfId="57"/>
    <tableColumn id="17" xr3:uid="{00000000-0010-0000-0900-000011000000}" name="Total Number of Table cut" dataDxfId="56">
      <calculatedColumnFormula>IFERROR(SUM(Table911[[#This Row],[Inv1]:[Inv3]]),"")</calculatedColumnFormula>
    </tableColumn>
    <tableColumn id="23" xr3:uid="{00000000-0010-0000-0900-000017000000}" name="Remarks for the day" dataDxfId="5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O97" totalsRowShown="0" headerRowDxfId="54" dataDxfId="52" headerRowBorderDxfId="53" tableBorderDxfId="51" totalsRowBorderDxfId="50">
  <tableColumns count="41">
    <tableColumn id="1" xr3:uid="{B98F28D2-20F3-45EC-B5BC-A0259FE50C3E}" name="Sr. No." dataDxfId="49"/>
    <tableColumn id="2" xr3:uid="{C59473A8-C6BC-40C5-9F2F-F75342DB2348}" name="Month Name" dataDxfId="48"/>
    <tableColumn id="3" xr3:uid="{4700DECB-F8BE-4A1B-92F8-6A993B8845ED}" name="Month Number" dataDxfId="47"/>
    <tableColumn id="4" xr3:uid="{A73B8F81-A9C2-4A9F-8850-8007F6BAEE85}" name="Month" dataDxfId="46"/>
    <tableColumn id="5" xr3:uid="{4B67373B-8712-456E-BE31-8AFB99A7E006}" name="CY" dataDxfId="45">
      <calculatedColumnFormula>YEAR(D2)</calculatedColumnFormula>
    </tableColumn>
    <tableColumn id="6" xr3:uid="{A7935390-FEE9-4F12-A73B-045406D19EDF}" name="FY" dataDxfId="44"/>
    <tableColumn id="7" xr3:uid="{ED5B39EE-20C8-4143-80C2-E8D3A4916C58}" name="No. of Days in Month" dataDxfId="43">
      <calculatedColumnFormula>DAY(EOMONTH(D2,0))</calculatedColumnFormula>
    </tableColumn>
    <tableColumn id="8" xr3:uid="{ACB20ACE-A9BC-4781-8B0C-C6711D2142D1}" name="GHI" dataDxfId="42"/>
    <tableColumn id="9" xr3:uid="{3D87B0A7-DE15-4677-A537-5B170AC069CF}" name="POA" dataDxfId="41"/>
    <tableColumn id="10" xr3:uid="{8FC88186-85BA-46EC-AEB9-4BA68F9C0E8D}" name="WS" dataDxfId="40"/>
    <tableColumn id="11" xr3:uid="{B3F63B8D-4FC7-4FD4-AA7D-0C7CF24A7DC1}" name="Tamb" dataDxfId="39"/>
    <tableColumn id="12" xr3:uid="{57FE41E9-0C30-4200-BF76-2271D3B7FEA8}" name="Tmod" dataDxfId="38"/>
    <tableColumn id="13" xr3:uid="{C23785E4-BB02-44C2-80B4-5E85DB634C4C}" name="Egrid (MWh)" dataDxfId="37"/>
    <tableColumn id="14" xr3:uid="{35D6F6F5-0244-42AB-9C49-F3C660FB8C38}" name="Bugt_Capacity" dataDxfId="36"/>
    <tableColumn id="15" xr3:uid="{59D852E5-47EF-41E7-9668-17C4661AD880}" name="PR" dataDxfId="35">
      <calculatedColumnFormula>IFERROR(M2/I2/N2,"")</calculatedColumnFormula>
    </tableColumn>
    <tableColumn id="16" xr3:uid="{8F45CE14-FE7F-4427-A38C-2306DC54BA79}" name="Daily POA" dataDxfId="34">
      <calculatedColumnFormula>IFERROR(I2/G2,"")</calculatedColumnFormula>
    </tableColumn>
    <tableColumn id="17" xr3:uid="{88FD4C7C-C048-4ADB-9D88-DD647869BDF8}" name="Days Operated" dataDxfId="33">
      <calculatedColumnFormula>COUNTIFS('Daily KPI'!$D:$D,D2,'Daily KPI'!$O:$O,"&gt;0")</calculatedColumnFormula>
    </tableColumn>
    <tableColumn id="18" xr3:uid="{14580676-2556-4637-878B-C2076E5B74D4}" name="MTD POA" dataDxfId="32">
      <calculatedColumnFormula>I2/G2*Q2</calculatedColumnFormula>
    </tableColumn>
    <tableColumn id="27" xr3:uid="{6EBC9B9D-6A54-4F9A-84ED-4CC517E42CA8}" name="YTD POA" dataDxfId="31">
      <calculatedColumnFormula>SUMIF($F$2:F2,F2,$R$2:R2)</calculatedColumnFormula>
    </tableColumn>
    <tableColumn id="19" xr3:uid="{EB9254D3-BB67-4B14-B940-0A0722516B29}" name="Daily Energy (MWh)" dataDxfId="30">
      <calculatedColumnFormula>M2/G2</calculatedColumnFormula>
    </tableColumn>
    <tableColumn id="20" xr3:uid="{B96D8599-7A50-43B5-9FC3-B28B035B6EB8}" name="MTD Energy (MWh)" dataDxfId="29">
      <calculatedColumnFormula>M2/G2*Q2</calculatedColumnFormula>
    </tableColumn>
    <tableColumn id="28" xr3:uid="{2BAE8882-5FCA-4147-88D9-958D3EF4D2F8}" name="YTD Energy (MWh)" dataDxfId="28">
      <calculatedColumnFormula>SUMIF($F$2:F2,F2,$U$2:U2)</calculatedColumnFormula>
    </tableColumn>
    <tableColumn id="38" xr3:uid="{22CBD203-4555-43A9-8063-F9634313D00A}" name="Bugt CUF (%)" dataDxfId="27">
      <calculatedColumnFormula>IFERROR(T2/(24*N2),"")</calculatedColumnFormula>
    </tableColumn>
    <tableColumn id="37" xr3:uid="{6E77A58C-770D-424F-B68D-A58A0C7C1524}" name="Bugt CUF (%) MTD" dataDxfId="26">
      <calculatedColumnFormula>IFERROR(U2/(24*N2*Q2),"")</calculatedColumnFormula>
    </tableColumn>
    <tableColumn id="36" xr3:uid="{CCF3C243-0BE4-4022-8817-2FF63993BA06}" name="Bugt CUF (%)YTD" dataDxfId="25">
      <calculatedColumnFormula>IFERROR(V2/(24*N2*SUMIFS($Q:$Q,$F:$F,$F2,$D:$D,"&lt;="&amp;D2)),"")</calculatedColumnFormula>
    </tableColumn>
    <tableColumn id="21" xr3:uid="{9433461A-DF8D-43FA-8249-B57F3C805865}" name="Ave. Cap MTD" dataDxfId="24">
      <calculatedColumnFormula>IFERROR(AVERAGEIF('Daily KPI'!$D:$D,Table14[[#This Row],[Month]],'Daily KPI'!$AB:$AB),"")</calculatedColumnFormula>
    </tableColumn>
    <tableColumn id="29" xr3:uid="{029A2651-AC29-4A52-B81B-814DD1ADB2EC}" name="Ave. Cap YTD" dataDxfId="23">
      <calculatedColumnFormula>IFERROR(AVERAGEIF($F$2:F2,F2,$N$2:N2),"")</calculatedColumnFormula>
    </tableColumn>
    <tableColumn id="22" xr3:uid="{2EDE92FC-DAED-45AB-9C3B-7C453C2A37D6}" name="CC Energy MTD" dataDxfId="22"/>
    <tableColumn id="31" xr3:uid="{E1F51B95-A57A-4DB1-98B2-0D5721834AC5}" name="WS MTD" dataDxfId="21"/>
    <tableColumn id="23" xr3:uid="{7174F794-3385-47BA-9EC5-D79914920A97}" name="WS YTD" dataDxfId="20"/>
    <tableColumn id="24" xr3:uid="{E7F81BCE-722F-438C-B1C6-59DC31D1866E}" name="Bugt PA" dataDxfId="19"/>
    <tableColumn id="25" xr3:uid="{40AF72D3-5047-452B-B510-96C11424B8CE}" name="Bugt EGA" dataDxfId="18"/>
    <tableColumn id="35" xr3:uid="{CF64A0F2-F5E3-4CC6-B11D-70AFEB45C21F}" name="Bugt TA" dataDxfId="17"/>
    <tableColumn id="26" xr3:uid="{6B1B6240-777C-429A-987F-D7F1F37302FE}" name="Bugt MA" dataDxfId="16"/>
    <tableColumn id="30" xr3:uid="{8AF42169-6235-4B89-8B65-3079FEA28E49}" name="Bugt IGA" dataDxfId="15"/>
    <tableColumn id="32" xr3:uid="{A0282B24-8C83-44E7-AF1D-9DD7CD767D3C}" name="Corelation" dataDxfId="14"/>
    <tableColumn id="33" xr3:uid="{273593E8-5067-4AAE-8A41-7889EFFA4AEE}" name="Bugt Line loss" dataDxfId="13"/>
    <tableColumn id="34" xr3:uid="{240EDA00-C68F-4E09-A6DA-C8BC446F87E6}" name="Bugt Reactive Power" dataDxfId="12"/>
    <tableColumn id="39" xr3:uid="{8D2E9BB3-D858-483C-A770-AABB0E659DA4}" name="Bugt Capacity" dataDxfId="11"/>
    <tableColumn id="40" xr3:uid="{94EA0BDF-C444-455C-9927-0A62ABF57B6C}" name="CC*Bugt" dataDxfId="10"/>
    <tableColumn id="41" xr3:uid="{48D3A0D5-25BF-4A01-A7E5-BF633004128F}" name="Bugt AC Capacity" dataDxfId="9" dataCellStyle="Comma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B4" sqref="B4:F4"/>
    </sheetView>
  </sheetViews>
  <sheetFormatPr defaultColWidth="8.77734375" defaultRowHeight="14.4" x14ac:dyDescent="0.3"/>
  <cols>
    <col min="1" max="1" width="14.21875" style="139" customWidth="1"/>
    <col min="2" max="2" width="17.77734375" style="139" bestFit="1" customWidth="1"/>
    <col min="3" max="4" width="13.77734375" style="139" customWidth="1"/>
    <col min="5" max="5" width="16.21875" style="139" customWidth="1"/>
    <col min="6" max="6" width="51.77734375" style="139" customWidth="1"/>
    <col min="7" max="16384" width="8.77734375" style="139"/>
  </cols>
  <sheetData>
    <row r="1" spans="1:6" ht="15.6" x14ac:dyDescent="0.3">
      <c r="A1" s="256" t="s">
        <v>318</v>
      </c>
      <c r="B1" s="257"/>
      <c r="C1" s="257"/>
      <c r="D1" s="257"/>
      <c r="E1" s="257"/>
      <c r="F1" s="258"/>
    </row>
    <row r="2" spans="1:6" x14ac:dyDescent="0.3">
      <c r="A2" s="140" t="s">
        <v>105</v>
      </c>
      <c r="B2" s="259">
        <v>45839</v>
      </c>
      <c r="C2" s="260"/>
      <c r="D2" s="260"/>
      <c r="E2" s="260"/>
      <c r="F2" s="261"/>
    </row>
    <row r="3" spans="1:6" x14ac:dyDescent="0.3">
      <c r="A3" s="140" t="s">
        <v>106</v>
      </c>
      <c r="B3" s="262">
        <v>45869</v>
      </c>
      <c r="C3" s="262"/>
      <c r="D3" s="262"/>
      <c r="E3" s="262"/>
      <c r="F3" s="263"/>
    </row>
    <row r="4" spans="1:6" x14ac:dyDescent="0.3">
      <c r="A4" s="140" t="s">
        <v>107</v>
      </c>
      <c r="B4" s="264">
        <f>YEAR(B3)+IF(MONTH(B3)&gt;=4,1,0)</f>
        <v>2026</v>
      </c>
      <c r="C4" s="264"/>
      <c r="D4" s="264"/>
      <c r="E4" s="264"/>
      <c r="F4" s="265"/>
    </row>
    <row r="5" spans="1:6" x14ac:dyDescent="0.3">
      <c r="A5" s="140" t="s">
        <v>108</v>
      </c>
      <c r="B5" s="266">
        <v>45748</v>
      </c>
      <c r="C5" s="267"/>
      <c r="D5" s="267"/>
      <c r="E5" s="267"/>
      <c r="F5" s="268"/>
    </row>
    <row r="6" spans="1:6" ht="15" thickBot="1" x14ac:dyDescent="0.35">
      <c r="A6" s="141" t="s">
        <v>109</v>
      </c>
      <c r="B6" s="254">
        <v>46112</v>
      </c>
      <c r="C6" s="254"/>
      <c r="D6" s="254"/>
      <c r="E6" s="254"/>
      <c r="F6" s="255"/>
    </row>
    <row r="7" spans="1:6" ht="4.5" customHeight="1" thickBot="1" x14ac:dyDescent="0.35">
      <c r="A7" s="142"/>
      <c r="B7" s="45"/>
      <c r="C7" s="45"/>
      <c r="D7" s="45"/>
      <c r="E7" s="45"/>
      <c r="F7" s="45"/>
    </row>
    <row r="8" spans="1:6" ht="15" thickBot="1" x14ac:dyDescent="0.35">
      <c r="A8" s="68" t="s">
        <v>57</v>
      </c>
      <c r="B8" s="69" t="s">
        <v>110</v>
      </c>
      <c r="C8" s="69" t="s">
        <v>111</v>
      </c>
      <c r="D8" s="69" t="s">
        <v>112</v>
      </c>
      <c r="E8" s="69" t="s">
        <v>113</v>
      </c>
      <c r="F8" s="70" t="s">
        <v>67</v>
      </c>
    </row>
    <row r="9" spans="1:6" x14ac:dyDescent="0.3">
      <c r="A9" s="251">
        <v>1</v>
      </c>
      <c r="B9" s="143" t="s">
        <v>114</v>
      </c>
      <c r="C9" s="73">
        <f>_xlfn.XLOOKUP($B$3,'Daily KPI'!$A:$A,'Daily KPI'!$AD:$AD)/1000</f>
        <v>22.929949138521675</v>
      </c>
      <c r="D9" s="144">
        <f>_xlfn.XLOOKUP($B$3,'Daily KPI'!$A:$A,'Daily KPI'!$AA:$AA)/1000</f>
        <v>29.899999999999977</v>
      </c>
      <c r="E9" s="145">
        <f>-(C9-D9)/C9</f>
        <v>0.3039714924517129</v>
      </c>
      <c r="F9" s="146"/>
    </row>
    <row r="10" spans="1:6" x14ac:dyDescent="0.3">
      <c r="A10" s="252"/>
      <c r="B10" s="147" t="s">
        <v>115</v>
      </c>
      <c r="C10" s="71">
        <f>'Monthly KPI'!$E$4</f>
        <v>710.8284232941719</v>
      </c>
      <c r="D10" s="148">
        <f>'Monthly KPI'!$F$4</f>
        <v>751.700000000003</v>
      </c>
      <c r="E10" s="149">
        <f t="shared" ref="E10:E26" si="0">-(C10-D10)/C10</f>
        <v>5.7498512111292796E-2</v>
      </c>
      <c r="F10" s="150"/>
    </row>
    <row r="11" spans="1:6" ht="15" thickBot="1" x14ac:dyDescent="0.35">
      <c r="A11" s="253"/>
      <c r="B11" s="151" t="s">
        <v>116</v>
      </c>
      <c r="C11" s="74">
        <f>'Annual KPI'!$E$4</f>
        <v>3567.6378056992048</v>
      </c>
      <c r="D11" s="152">
        <f>'Annual KPI'!$F$4</f>
        <v>3525.1499999999933</v>
      </c>
      <c r="E11" s="153">
        <f t="shared" si="0"/>
        <v>-1.1909226220032322E-2</v>
      </c>
      <c r="F11" s="154"/>
    </row>
    <row r="12" spans="1:6" x14ac:dyDescent="0.3">
      <c r="A12" s="251">
        <v>2</v>
      </c>
      <c r="B12" s="143" t="s">
        <v>117</v>
      </c>
      <c r="C12" s="75">
        <f>_xlfn.XLOOKUP($B$3,'Daily KPI'!$A:$A,'Daily KPI'!AF:AF)</f>
        <v>0.11911562884943125</v>
      </c>
      <c r="D12" s="155">
        <f>_xlfn.XLOOKUP($B$3,'Daily KPI'!$A:$A,'Daily KPI'!$W:$W)</f>
        <v>0.15532338432511719</v>
      </c>
      <c r="E12" s="145">
        <f t="shared" si="0"/>
        <v>0.30397149245171307</v>
      </c>
      <c r="F12" s="156"/>
    </row>
    <row r="13" spans="1:6" x14ac:dyDescent="0.3">
      <c r="A13" s="252"/>
      <c r="B13" s="147" t="s">
        <v>118</v>
      </c>
      <c r="C13" s="72">
        <f>'Monthly KPI'!$I$4</f>
        <v>0.11911562884943126</v>
      </c>
      <c r="D13" s="157">
        <f>'Monthly KPI'!$J$4</f>
        <v>0.12596460027747455</v>
      </c>
      <c r="E13" s="149">
        <f t="shared" si="0"/>
        <v>5.7498512111292879E-2</v>
      </c>
      <c r="F13" s="150"/>
    </row>
    <row r="14" spans="1:6" ht="15" thickBot="1" x14ac:dyDescent="0.35">
      <c r="A14" s="253"/>
      <c r="B14" s="151" t="s">
        <v>119</v>
      </c>
      <c r="C14" s="76">
        <f>'Annual KPI'!$I$4</f>
        <v>0.1519100767661154</v>
      </c>
      <c r="D14" s="158">
        <f>'Annual KPI'!$J$4</f>
        <v>0.15010094529680526</v>
      </c>
      <c r="E14" s="153">
        <f t="shared" si="0"/>
        <v>-1.1909226220032279E-2</v>
      </c>
      <c r="F14" s="154"/>
    </row>
    <row r="15" spans="1:6" x14ac:dyDescent="0.3">
      <c r="A15" s="251">
        <v>3</v>
      </c>
      <c r="B15" s="143" t="s">
        <v>120</v>
      </c>
      <c r="C15" s="75">
        <f>_xlfn.XLOOKUP($B$3,'Daily KPI'!$A:$A,'Daily KPI'!AE:AE)</f>
        <v>0.70671473575739119</v>
      </c>
      <c r="D15" s="155">
        <f>_xlfn.XLOOKUP($B$3,'Daily KPI'!$A:$A,'Daily KPI'!$U:$U)</f>
        <v>0.78977992029720612</v>
      </c>
      <c r="E15" s="145">
        <f t="shared" si="0"/>
        <v>0.11753707731987982</v>
      </c>
      <c r="F15" s="146"/>
    </row>
    <row r="16" spans="1:6" x14ac:dyDescent="0.3">
      <c r="A16" s="252"/>
      <c r="B16" s="147" t="s">
        <v>121</v>
      </c>
      <c r="C16" s="72">
        <f>'Monthly KPI'!$G$4</f>
        <v>0.70671473575739119</v>
      </c>
      <c r="D16" s="157">
        <f>'Monthly KPI'!$H$4</f>
        <v>0.77870928630196146</v>
      </c>
      <c r="E16" s="149">
        <f t="shared" si="0"/>
        <v>0.10187215138143851</v>
      </c>
      <c r="F16" s="150"/>
    </row>
    <row r="17" spans="1:6" ht="15" thickBot="1" x14ac:dyDescent="0.35">
      <c r="A17" s="253"/>
      <c r="B17" s="151" t="s">
        <v>122</v>
      </c>
      <c r="C17" s="76">
        <f>'Annual KPI'!$G$4</f>
        <v>0.6882139946947019</v>
      </c>
      <c r="D17" s="158">
        <f>'Annual KPI'!$H$4</f>
        <v>0.75351570110936095</v>
      </c>
      <c r="E17" s="153">
        <f t="shared" si="0"/>
        <v>9.4885757799254705E-2</v>
      </c>
      <c r="F17" s="154"/>
    </row>
    <row r="18" spans="1:6" ht="28.05" customHeight="1" x14ac:dyDescent="0.3">
      <c r="A18" s="251">
        <v>4</v>
      </c>
      <c r="B18" s="143" t="s">
        <v>123</v>
      </c>
      <c r="C18" s="130">
        <f>_xlfn.XLOOKUP($B$3,'Daily KPI'!$A:$A,'Daily KPI'!AC:AC)</f>
        <v>4.0451612903225804</v>
      </c>
      <c r="D18" s="159">
        <f>_xlfn.XLOOKUP($B$3,'Daily KPI'!$A:$A,'Daily KPI'!$I:$I)</f>
        <v>4.72</v>
      </c>
      <c r="E18" s="145">
        <f t="shared" si="0"/>
        <v>0.16682615629984052</v>
      </c>
      <c r="F18" s="160"/>
    </row>
    <row r="19" spans="1:6" x14ac:dyDescent="0.3">
      <c r="A19" s="252"/>
      <c r="B19" s="147" t="s">
        <v>124</v>
      </c>
      <c r="C19" s="131">
        <f>'Monthly KPI'!$C$4</f>
        <v>125.39999999999999</v>
      </c>
      <c r="D19" s="161">
        <f>'Monthly KPI'!$D$4</f>
        <v>120.35</v>
      </c>
      <c r="E19" s="149">
        <f t="shared" si="0"/>
        <v>-4.0271132376395513E-2</v>
      </c>
      <c r="F19" s="162"/>
    </row>
    <row r="20" spans="1:6" ht="15" thickBot="1" x14ac:dyDescent="0.35">
      <c r="A20" s="253"/>
      <c r="B20" s="151" t="s">
        <v>125</v>
      </c>
      <c r="C20" s="132">
        <f>'Annual KPI'!$C$4</f>
        <v>646.30000000000007</v>
      </c>
      <c r="D20" s="163">
        <f>'Annual KPI'!$D$4</f>
        <v>583.26</v>
      </c>
      <c r="E20" s="153">
        <f t="shared" si="0"/>
        <v>-9.7539842178554964E-2</v>
      </c>
      <c r="F20" s="164"/>
    </row>
    <row r="21" spans="1:6" x14ac:dyDescent="0.3">
      <c r="A21" s="251">
        <v>5</v>
      </c>
      <c r="B21" s="143" t="s">
        <v>126</v>
      </c>
      <c r="C21" s="155">
        <f>_xlfn.XLOOKUP($B$2,'Modelling New'!$D:$D,'Modelling New'!AE:AE)</f>
        <v>0.98040000000000005</v>
      </c>
      <c r="D21" s="155">
        <f>_xlfn.XLOOKUP($B$3,'Daily KPI'!$A:$A,'Daily KPI'!$O:$O)</f>
        <v>1</v>
      </c>
      <c r="E21" s="145">
        <f t="shared" si="0"/>
        <v>1.9991840065279428E-2</v>
      </c>
      <c r="F21" s="160"/>
    </row>
    <row r="22" spans="1:6" x14ac:dyDescent="0.3">
      <c r="A22" s="252"/>
      <c r="B22" s="147" t="s">
        <v>127</v>
      </c>
      <c r="C22" s="157">
        <f>_xlfn.XLOOKUP($B$2,'Modelling New'!$D:$D,'Modelling New'!AE:AE)</f>
        <v>0.98040000000000005</v>
      </c>
      <c r="D22" s="157">
        <f>'Monthly KPI'!$N$4</f>
        <v>0.99672416178060996</v>
      </c>
      <c r="E22" s="149">
        <f t="shared" si="0"/>
        <v>1.6650511812127615E-2</v>
      </c>
      <c r="F22" s="162"/>
    </row>
    <row r="23" spans="1:6" ht="15" thickBot="1" x14ac:dyDescent="0.35">
      <c r="A23" s="253"/>
      <c r="B23" s="151" t="s">
        <v>128</v>
      </c>
      <c r="C23" s="158">
        <f>_xlfn.XLOOKUP($B$2,'Modelling New'!$D:$D,'Modelling New'!AE:AE)</f>
        <v>0.98040000000000005</v>
      </c>
      <c r="D23" s="158">
        <f>'Annual KPI'!$N$4</f>
        <v>0.98074529695256418</v>
      </c>
      <c r="E23" s="153">
        <f t="shared" si="0"/>
        <v>3.5220007401482416E-4</v>
      </c>
      <c r="F23" s="154"/>
    </row>
    <row r="24" spans="1:6" x14ac:dyDescent="0.3">
      <c r="A24" s="251">
        <v>6</v>
      </c>
      <c r="B24" s="143" t="s">
        <v>129</v>
      </c>
      <c r="C24" s="155">
        <f>_xlfn.XLOOKUP($B$2,'Modelling New'!$D:$D,'Modelling New'!AF:AF)</f>
        <v>0.98</v>
      </c>
      <c r="D24" s="155">
        <f>_xlfn.XLOOKUP($B$3,'Daily KPI'!$A:$A,'Daily KPI'!$R:$R)</f>
        <v>0.99434471773600064</v>
      </c>
      <c r="E24" s="145">
        <f t="shared" si="0"/>
        <v>1.463746707755169E-2</v>
      </c>
      <c r="F24" s="146"/>
    </row>
    <row r="25" spans="1:6" x14ac:dyDescent="0.3">
      <c r="A25" s="252"/>
      <c r="B25" s="147" t="s">
        <v>130</v>
      </c>
      <c r="C25" s="157">
        <f>_xlfn.XLOOKUP($B$2,'Modelling New'!$D:$D,'Modelling New'!AF:AF)</f>
        <v>0.98</v>
      </c>
      <c r="D25" s="157">
        <f>'Monthly KPI'!$L$4</f>
        <v>0.97521845596917001</v>
      </c>
      <c r="E25" s="149">
        <f t="shared" si="0"/>
        <v>-4.8791265620714043E-3</v>
      </c>
      <c r="F25" s="150"/>
    </row>
    <row r="26" spans="1:6" ht="15" thickBot="1" x14ac:dyDescent="0.35">
      <c r="A26" s="253"/>
      <c r="B26" s="151" t="s">
        <v>131</v>
      </c>
      <c r="C26" s="158">
        <f>_xlfn.XLOOKUP($B$2,'Modelling New'!$D:$D,'Modelling New'!AF:AF)</f>
        <v>0.98</v>
      </c>
      <c r="D26" s="158">
        <f>'Annual KPI'!$L$4</f>
        <v>0.96934491441302395</v>
      </c>
      <c r="E26" s="153">
        <f t="shared" si="0"/>
        <v>-1.0872536313240849E-2</v>
      </c>
      <c r="F26" s="154"/>
    </row>
  </sheetData>
  <sheetProtection algorithmName="SHA-512" hashValue="vJyCTBAPJivz4GxAFH09ahxpkXvUVrOAdzUeNEcdsRXkk2Oy6iojxCFadccvwWuko1rI3FcwzoEyJstf0zY7eg==" saltValue="TLMvT+wPcODo+Iqu6tOFRA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sheetPr codeName="Sheet2"/>
  <dimension ref="B4:G30"/>
  <sheetViews>
    <sheetView workbookViewId="0">
      <selection activeCell="L31" sqref="L31"/>
    </sheetView>
  </sheetViews>
  <sheetFormatPr defaultColWidth="9.21875" defaultRowHeight="14.4" x14ac:dyDescent="0.3"/>
  <cols>
    <col min="2" max="2" width="18.77734375" bestFit="1" customWidth="1"/>
    <col min="3" max="3" width="10.44140625" bestFit="1" customWidth="1"/>
    <col min="6" max="6" width="12.77734375" bestFit="1" customWidth="1"/>
  </cols>
  <sheetData>
    <row r="4" spans="2:6" x14ac:dyDescent="0.3">
      <c r="B4" t="s">
        <v>1041</v>
      </c>
    </row>
    <row r="6" spans="2:6" x14ac:dyDescent="0.3">
      <c r="B6" s="3" t="s">
        <v>1042</v>
      </c>
      <c r="C6" s="3" t="s">
        <v>40</v>
      </c>
      <c r="D6" s="3" t="s">
        <v>111</v>
      </c>
      <c r="E6" s="3" t="s">
        <v>1043</v>
      </c>
      <c r="F6" s="3" t="s">
        <v>1044</v>
      </c>
    </row>
    <row r="7" spans="2:6" x14ac:dyDescent="0.3">
      <c r="B7" s="3" t="s">
        <v>1045</v>
      </c>
      <c r="C7" s="83">
        <f>'Daily Dashboard'!B3</f>
        <v>45869</v>
      </c>
      <c r="D7" s="84">
        <f>'Daily Dashboard'!C9</f>
        <v>22.929949138521675</v>
      </c>
      <c r="E7" s="84">
        <f>'Daily Dashboard'!D9</f>
        <v>29.899999999999977</v>
      </c>
      <c r="F7" s="84">
        <f>D7-E7</f>
        <v>-6.9700508614783026</v>
      </c>
    </row>
    <row r="8" spans="2:6" x14ac:dyDescent="0.3">
      <c r="B8" s="3" t="s">
        <v>1046</v>
      </c>
      <c r="C8" s="83">
        <f t="shared" ref="C8:C30" si="0">$C$7</f>
        <v>45869</v>
      </c>
      <c r="D8" s="3">
        <v>0</v>
      </c>
      <c r="E8" s="3">
        <v>0</v>
      </c>
      <c r="F8" s="3">
        <v>0</v>
      </c>
    </row>
    <row r="9" spans="2:6" x14ac:dyDescent="0.3">
      <c r="B9" s="3" t="s">
        <v>1047</v>
      </c>
      <c r="C9" s="83">
        <f t="shared" si="0"/>
        <v>45869</v>
      </c>
      <c r="D9" s="3">
        <v>0</v>
      </c>
      <c r="E9" s="3">
        <v>0</v>
      </c>
      <c r="F9" s="3">
        <v>0</v>
      </c>
    </row>
    <row r="10" spans="2:6" x14ac:dyDescent="0.3">
      <c r="B10" s="3" t="s">
        <v>1048</v>
      </c>
      <c r="C10" s="83">
        <f t="shared" si="0"/>
        <v>45869</v>
      </c>
      <c r="D10" s="3">
        <v>0</v>
      </c>
      <c r="E10" s="3">
        <v>0</v>
      </c>
      <c r="F10" s="3">
        <v>0</v>
      </c>
    </row>
    <row r="11" spans="2:6" x14ac:dyDescent="0.3">
      <c r="B11" s="3" t="s">
        <v>1049</v>
      </c>
      <c r="C11" s="83">
        <f t="shared" si="0"/>
        <v>45869</v>
      </c>
      <c r="D11" s="3">
        <v>0</v>
      </c>
      <c r="E11" s="3">
        <v>0</v>
      </c>
      <c r="F11" s="3">
        <v>0</v>
      </c>
    </row>
    <row r="12" spans="2:6" x14ac:dyDescent="0.3">
      <c r="B12" s="3" t="s">
        <v>1050</v>
      </c>
      <c r="C12" s="83">
        <f t="shared" si="0"/>
        <v>45869</v>
      </c>
      <c r="D12" s="3">
        <v>0</v>
      </c>
      <c r="E12" s="3">
        <v>0</v>
      </c>
      <c r="F12" s="3">
        <v>0</v>
      </c>
    </row>
    <row r="13" spans="2:6" x14ac:dyDescent="0.3">
      <c r="B13" s="3" t="s">
        <v>1051</v>
      </c>
      <c r="C13" s="83">
        <f t="shared" si="0"/>
        <v>45869</v>
      </c>
      <c r="D13" s="3">
        <v>0</v>
      </c>
      <c r="E13" s="3">
        <v>0</v>
      </c>
      <c r="F13" s="3">
        <v>0</v>
      </c>
    </row>
    <row r="14" spans="2:6" x14ac:dyDescent="0.3">
      <c r="B14" s="3" t="s">
        <v>1052</v>
      </c>
      <c r="C14" s="83">
        <f t="shared" si="0"/>
        <v>45869</v>
      </c>
      <c r="D14" s="3">
        <v>0</v>
      </c>
      <c r="E14" s="3">
        <v>0</v>
      </c>
      <c r="F14" s="3">
        <v>0</v>
      </c>
    </row>
    <row r="15" spans="2:6" x14ac:dyDescent="0.3">
      <c r="B15" s="3" t="s">
        <v>1053</v>
      </c>
      <c r="C15" s="83">
        <f t="shared" si="0"/>
        <v>45869</v>
      </c>
      <c r="D15" s="3">
        <v>0</v>
      </c>
      <c r="E15" s="3">
        <v>0</v>
      </c>
      <c r="F15" s="3">
        <v>0</v>
      </c>
    </row>
    <row r="16" spans="2:6" x14ac:dyDescent="0.3">
      <c r="B16" s="3" t="s">
        <v>1054</v>
      </c>
      <c r="C16" s="83">
        <f t="shared" si="0"/>
        <v>45869</v>
      </c>
      <c r="D16" s="3">
        <v>0</v>
      </c>
      <c r="E16" s="3">
        <v>0</v>
      </c>
      <c r="F16" s="3">
        <v>0</v>
      </c>
    </row>
    <row r="17" spans="2:7" x14ac:dyDescent="0.3">
      <c r="B17" s="3" t="s">
        <v>1055</v>
      </c>
      <c r="C17" s="83">
        <f t="shared" si="0"/>
        <v>45869</v>
      </c>
      <c r="D17" s="3">
        <v>0</v>
      </c>
      <c r="E17" s="3">
        <v>0</v>
      </c>
      <c r="F17" s="3">
        <v>0</v>
      </c>
    </row>
    <row r="18" spans="2:7" x14ac:dyDescent="0.3">
      <c r="B18" s="3" t="s">
        <v>1056</v>
      </c>
      <c r="C18" s="83">
        <f t="shared" si="0"/>
        <v>45869</v>
      </c>
      <c r="D18" s="3">
        <v>0</v>
      </c>
      <c r="E18" s="3">
        <v>0</v>
      </c>
      <c r="F18" s="3">
        <v>0</v>
      </c>
    </row>
    <row r="19" spans="2:7" x14ac:dyDescent="0.3">
      <c r="B19" s="3" t="s">
        <v>1057</v>
      </c>
      <c r="C19" s="83">
        <f t="shared" si="0"/>
        <v>45869</v>
      </c>
      <c r="D19" s="3">
        <v>0</v>
      </c>
      <c r="E19" s="3">
        <v>0</v>
      </c>
      <c r="F19" s="3">
        <v>0</v>
      </c>
    </row>
    <row r="20" spans="2:7" x14ac:dyDescent="0.3">
      <c r="B20" s="3" t="s">
        <v>1058</v>
      </c>
      <c r="C20" s="83">
        <f t="shared" si="0"/>
        <v>45869</v>
      </c>
      <c r="D20" s="3">
        <v>0</v>
      </c>
      <c r="E20" s="3">
        <v>0</v>
      </c>
      <c r="F20" s="3">
        <v>0</v>
      </c>
    </row>
    <row r="21" spans="2:7" x14ac:dyDescent="0.3">
      <c r="B21" s="3" t="s">
        <v>1059</v>
      </c>
      <c r="C21" s="83">
        <f t="shared" si="0"/>
        <v>45869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5">
        <f>(F21/100)*$D$7</f>
        <v>0.44942700311502337</v>
      </c>
    </row>
    <row r="22" spans="2:7" x14ac:dyDescent="0.3">
      <c r="B22" s="3" t="s">
        <v>1060</v>
      </c>
      <c r="C22" s="83">
        <f t="shared" si="0"/>
        <v>45869</v>
      </c>
      <c r="D22" s="3">
        <f>'Daily Dashboard'!C24*100</f>
        <v>98</v>
      </c>
      <c r="E22" s="3">
        <f>'Daily Dashboard'!D24*100</f>
        <v>99.434471773600066</v>
      </c>
      <c r="F22" s="3">
        <f>E22-D22</f>
        <v>1.4344717736000661</v>
      </c>
      <c r="G22" s="85">
        <f>(F22/100)*$D$7</f>
        <v>0.32892364809294494</v>
      </c>
    </row>
    <row r="23" spans="2:7" x14ac:dyDescent="0.3">
      <c r="B23" s="3" t="s">
        <v>1061</v>
      </c>
      <c r="C23" s="83">
        <f t="shared" si="0"/>
        <v>45869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5">
        <f>((F23/100)*$D$7)*20%</f>
        <v>0</v>
      </c>
    </row>
    <row r="24" spans="2:7" x14ac:dyDescent="0.3">
      <c r="B24" s="3" t="s">
        <v>1062</v>
      </c>
      <c r="C24" s="83">
        <f t="shared" si="0"/>
        <v>45869</v>
      </c>
      <c r="D24" s="3">
        <v>0</v>
      </c>
      <c r="E24" s="3">
        <v>0</v>
      </c>
      <c r="F24" s="3">
        <v>0</v>
      </c>
    </row>
    <row r="25" spans="2:7" x14ac:dyDescent="0.3">
      <c r="B25" s="3" t="s">
        <v>1063</v>
      </c>
      <c r="C25" s="83">
        <f t="shared" si="0"/>
        <v>45869</v>
      </c>
      <c r="D25" s="3">
        <v>0</v>
      </c>
      <c r="E25" s="3">
        <v>0</v>
      </c>
      <c r="F25" s="3">
        <v>0</v>
      </c>
    </row>
    <row r="26" spans="2:7" x14ac:dyDescent="0.3">
      <c r="B26" s="3" t="s">
        <v>112</v>
      </c>
      <c r="C26" s="83">
        <f t="shared" si="0"/>
        <v>45869</v>
      </c>
      <c r="D26" s="86">
        <f>'Daily Dashboard'!$D$9</f>
        <v>29.899999999999977</v>
      </c>
      <c r="E26" s="86">
        <f>'Daily Dashboard'!$D$9</f>
        <v>29.899999999999977</v>
      </c>
      <c r="F26" s="86">
        <f>'Daily Dashboard'!$D$9</f>
        <v>29.899999999999977</v>
      </c>
    </row>
    <row r="27" spans="2:7" x14ac:dyDescent="0.3">
      <c r="B27" s="3" t="s">
        <v>1064</v>
      </c>
      <c r="C27" s="83">
        <f t="shared" si="0"/>
        <v>45869</v>
      </c>
      <c r="D27" s="3">
        <v>0</v>
      </c>
      <c r="E27" s="3">
        <v>0</v>
      </c>
      <c r="F27" s="3">
        <v>0</v>
      </c>
    </row>
    <row r="28" spans="2:7" x14ac:dyDescent="0.3">
      <c r="B28" s="3" t="s">
        <v>1065</v>
      </c>
      <c r="C28" s="83">
        <f t="shared" si="0"/>
        <v>45869</v>
      </c>
      <c r="D28" s="3">
        <v>0</v>
      </c>
      <c r="E28" s="3">
        <v>0</v>
      </c>
      <c r="F28" s="3">
        <v>0</v>
      </c>
    </row>
    <row r="29" spans="2:7" x14ac:dyDescent="0.3">
      <c r="B29" s="3" t="s">
        <v>1066</v>
      </c>
      <c r="C29" s="83">
        <f t="shared" si="0"/>
        <v>45869</v>
      </c>
      <c r="D29" s="3">
        <v>0</v>
      </c>
      <c r="E29" s="84">
        <f>-(F7+G30)+(SUM(G21:G23))</f>
        <v>3.9230862337558605</v>
      </c>
      <c r="F29" s="84">
        <f>E29</f>
        <v>3.9230862337558605</v>
      </c>
    </row>
    <row r="30" spans="2:7" x14ac:dyDescent="0.3">
      <c r="B30" s="3" t="s">
        <v>1067</v>
      </c>
      <c r="C30" s="83">
        <f t="shared" si="0"/>
        <v>45869</v>
      </c>
      <c r="D30" s="3">
        <f>'Daily Dashboard'!C18</f>
        <v>4.0451612903225804</v>
      </c>
      <c r="E30" s="87">
        <f>'Daily Dashboard'!D18</f>
        <v>4.72</v>
      </c>
      <c r="F30" s="3">
        <f>E30-D30</f>
        <v>0.67483870967741932</v>
      </c>
      <c r="G30">
        <f>(F30/D30)*D7</f>
        <v>3.8253152789304101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N21"/>
  <sheetViews>
    <sheetView zoomScaleNormal="100" workbookViewId="0">
      <selection activeCell="B13" sqref="B13"/>
    </sheetView>
  </sheetViews>
  <sheetFormatPr defaultRowHeight="14.4" x14ac:dyDescent="0.3"/>
  <cols>
    <col min="1" max="1" width="11" customWidth="1"/>
    <col min="2" max="2" width="12.21875" bestFit="1" customWidth="1"/>
    <col min="3" max="3" width="13.5546875" customWidth="1"/>
    <col min="4" max="4" width="13.44140625" customWidth="1"/>
    <col min="5" max="5" width="13.77734375" customWidth="1"/>
    <col min="6" max="6" width="14" customWidth="1"/>
    <col min="8" max="8" width="9.5546875" customWidth="1"/>
    <col min="9" max="9" width="9.777343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2.05" customHeight="1" x14ac:dyDescent="0.3">
      <c r="A1" s="46" t="s">
        <v>104</v>
      </c>
      <c r="B1" s="47">
        <f>'Daily Dashboard'!B3</f>
        <v>45869</v>
      </c>
      <c r="C1" s="37">
        <f>'Daily Dashboard'!$B$2</f>
        <v>45839</v>
      </c>
    </row>
    <row r="2" spans="1:14" ht="21" x14ac:dyDescent="0.3">
      <c r="A2" s="269" t="s">
        <v>310</v>
      </c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</row>
    <row r="3" spans="1:14" ht="43.2" x14ac:dyDescent="0.3">
      <c r="A3" s="39" t="s">
        <v>75</v>
      </c>
      <c r="B3" s="39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s="13" customFormat="1" ht="18.600000000000001" customHeight="1" x14ac:dyDescent="0.3">
      <c r="A4" s="82">
        <f>YEAR(B1)+IF(MONTH(B1)&gt;=4,1,0)</f>
        <v>2026</v>
      </c>
      <c r="B4" s="40">
        <f>($B$1-'Daily Dashboard'!$B$5)+1</f>
        <v>122</v>
      </c>
      <c r="C4" s="40">
        <f>_xlfn.XLOOKUP($C$1,'Modelling New'!$D:$D,'Modelling New'!S:S)</f>
        <v>646.30000000000007</v>
      </c>
      <c r="D4" s="41">
        <f>SUMIFS('Daily KPI'!$I:$I,'Daily KPI'!$B:$B,'Annual KPI'!$A$4,'Daily KPI'!$A:$A,"&lt;="&amp;'Annual KPI'!$B$1)</f>
        <v>583.26</v>
      </c>
      <c r="E4" s="40">
        <f>_xlfn.XLOOKUP($C$1,'Modelling New'!$D:$D,'Modelling New'!V:V)</f>
        <v>3567.6378056992048</v>
      </c>
      <c r="F4" s="41">
        <f>SUMIFS('Daily KPI'!$AA:$AA,'Daily KPI'!$B:$B,'Annual KPI'!$A$4,'Daily KPI'!$A:$A,"&lt;="&amp;'Annual KPI'!$B$1)/1000</f>
        <v>3525.1499999999933</v>
      </c>
      <c r="G4" s="42">
        <f>IFERROR(E4/C4/'Modelling New'!$AR$1,"")</f>
        <v>0.6882139946947019</v>
      </c>
      <c r="H4" s="43">
        <f>IFERROR(F4/D4/'Modelling New'!$AR$1,"")</f>
        <v>0.75351570110936095</v>
      </c>
      <c r="I4" s="42">
        <f>IFERROR(E4/(B4*24*'Modelling New'!$AR$1),"")</f>
        <v>0.1519100767661154</v>
      </c>
      <c r="J4" s="43">
        <f>IFERROR(F4/(B4*24*'Modelling New'!$AR$1),"")</f>
        <v>0.15010094529680526</v>
      </c>
      <c r="K4" s="35">
        <f>_xlfn.XLOOKUP($C$1,'Modelling New'!$D:$D,'Modelling New'!AF:AF)</f>
        <v>0.98</v>
      </c>
      <c r="L4" s="44">
        <f>AVERAGEIFS('Daily KPI'!$R:$R,'Daily KPI'!$B:$B,'Annual KPI'!$A$4,'Daily KPI'!$A:$A,"&lt;="&amp;'Annual KPI'!$B$1)</f>
        <v>0.96934491441302395</v>
      </c>
      <c r="M4" s="35">
        <f>_xlfn.XLOOKUP($C$1,'Modelling New'!$D:$D,'Modelling New'!AE:AE)</f>
        <v>0.98040000000000005</v>
      </c>
      <c r="N4" s="44">
        <f>AVERAGEIFS('Daily KPI'!$O:$O,'Daily KPI'!$B:$B,'Annual KPI'!$A$4,'Daily KPI'!$A:$A,"&lt;="&amp;'Annual KPI'!$B$1)</f>
        <v>0.98074529695256418</v>
      </c>
    </row>
    <row r="8" spans="1:14" ht="21" x14ac:dyDescent="0.3">
      <c r="A8" s="269" t="s">
        <v>312</v>
      </c>
      <c r="B8" s="269"/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</row>
    <row r="9" spans="1:14" ht="43.2" x14ac:dyDescent="0.3">
      <c r="A9" s="39" t="s">
        <v>75</v>
      </c>
      <c r="B9" s="31" t="s">
        <v>54</v>
      </c>
      <c r="C9" s="32" t="s">
        <v>86</v>
      </c>
      <c r="D9" s="32" t="s">
        <v>87</v>
      </c>
      <c r="E9" s="32" t="s">
        <v>88</v>
      </c>
      <c r="F9" s="32" t="s">
        <v>89</v>
      </c>
      <c r="G9" s="32" t="s">
        <v>90</v>
      </c>
      <c r="H9" s="32" t="s">
        <v>91</v>
      </c>
      <c r="I9" s="32" t="s">
        <v>92</v>
      </c>
      <c r="J9" s="32" t="s">
        <v>93</v>
      </c>
      <c r="K9" s="32" t="s">
        <v>94</v>
      </c>
      <c r="L9" s="32" t="s">
        <v>95</v>
      </c>
      <c r="M9" s="32" t="s">
        <v>96</v>
      </c>
      <c r="N9" s="32" t="s">
        <v>97</v>
      </c>
    </row>
    <row r="10" spans="1:14" x14ac:dyDescent="0.3">
      <c r="A10" s="37">
        <v>45748</v>
      </c>
      <c r="B10" s="33">
        <f>_xlfn.XLOOKUP($A10,'Modelling New'!$D:$D,'Modelling New'!Q:Q)</f>
        <v>30</v>
      </c>
      <c r="C10" s="33">
        <f>_xlfn.XLOOKUP($A10,'Modelling New'!$D:$D,'Modelling New'!$R:$R)</f>
        <v>191.7</v>
      </c>
      <c r="D10" s="34">
        <f>SUMIF('Daily KPI'!$D:$D,A10,'Daily KPI'!I:I)</f>
        <v>174.20000000000002</v>
      </c>
      <c r="E10" s="33">
        <f>_xlfn.XLOOKUP($A10,'Modelling New'!$D:$D,'Modelling New'!$U:$U)</f>
        <v>1038.306851835873</v>
      </c>
      <c r="F10" s="34">
        <f>SUMIF('Daily KPI'!$D:$D,A10,'Daily KPI'!$AA:$AA)/1000</f>
        <v>1000.9999999999972</v>
      </c>
      <c r="G10" s="35">
        <f>IFERROR(E10/C10/'Modelling New'!$AR$1,"")</f>
        <v>0.67527474134483101</v>
      </c>
      <c r="H10" s="36">
        <f>IFERROR(F10/D10/'Modelling New'!$AR$1,"")</f>
        <v>0.71641195585487927</v>
      </c>
      <c r="I10" s="35">
        <f>IFERROR(E10/(B10*24*'Modelling New'!$AR$1),"")</f>
        <v>0.17979189988306124</v>
      </c>
      <c r="J10" s="36">
        <f>IFERROR(F10/(B10*24*'Modelling New'!$AR$1),"")</f>
        <v>0.17333189265266663</v>
      </c>
      <c r="K10" s="35">
        <f>_xlfn.XLOOKUP($A10,'Modelling New'!$D:$D,'Modelling New'!AF:AF)</f>
        <v>0.98</v>
      </c>
      <c r="L10" s="36">
        <f>IFERROR(AVERAGEIF('Daily KPI'!$D:$D,$A10,'Daily KPI'!$R:$R),"")</f>
        <v>0.98175453892445474</v>
      </c>
      <c r="M10" s="35">
        <f>_xlfn.XLOOKUP($A10,'Modelling New'!$D:$D,'Modelling New'!AE:AE)</f>
        <v>0.98040000000000005</v>
      </c>
      <c r="N10" s="36">
        <f>IFERROR(AVERAGEIF('Daily KPI'!$D:$D,$A10,'Daily KPI'!$O:$O),"")</f>
        <v>0.93093785561058018</v>
      </c>
    </row>
    <row r="11" spans="1:14" x14ac:dyDescent="0.3">
      <c r="A11" s="37">
        <v>45778</v>
      </c>
      <c r="B11" s="33">
        <f>_xlfn.XLOOKUP($A11,'Modelling New'!$D:$D,'Modelling New'!Q:Q)</f>
        <v>31</v>
      </c>
      <c r="C11" s="33">
        <f>_xlfn.XLOOKUP($A11,'Modelling New'!$D:$D,'Modelling New'!$R:$R)</f>
        <v>186.4</v>
      </c>
      <c r="D11" s="34">
        <f>SUMIF('Daily KPI'!$D:$D,A11,'Daily KPI'!I:I)</f>
        <v>157.12</v>
      </c>
      <c r="E11" s="33">
        <f>_xlfn.XLOOKUP($A11,'Modelling New'!$D:$D,'Modelling New'!$U:$U)</f>
        <v>1040.9100812301763</v>
      </c>
      <c r="F11" s="34">
        <f>SUMIF('Daily KPI'!$D:$D,A11,'Daily KPI'!$AA:$AA)/1000</f>
        <v>941.05000000000007</v>
      </c>
      <c r="G11" s="35">
        <f>IFERROR(E11/C11/'Modelling New'!$AR$1,"")</f>
        <v>0.69621632879901718</v>
      </c>
      <c r="H11" s="36">
        <f>IFERROR(F11/D11/'Modelling New'!$AR$1,"")</f>
        <v>0.74672059011616276</v>
      </c>
      <c r="I11" s="35">
        <f>IFERROR(E11/(B11*24*'Modelling New'!$AR$1),"")</f>
        <v>0.17442839205394731</v>
      </c>
      <c r="J11" s="36">
        <f>IFERROR(F11/(B11*24*'Modelling New'!$AR$1),"")</f>
        <v>0.15769454182668213</v>
      </c>
      <c r="K11" s="35">
        <f>_xlfn.XLOOKUP($A11,'Modelling New'!$D:$D,'Modelling New'!AF:AF)</f>
        <v>0.98</v>
      </c>
      <c r="L11" s="36">
        <f>IFERROR(AVERAGEIF('Daily KPI'!$D:$D,$A11,'Daily KPI'!$R:$R),"")</f>
        <v>0.95962971527321439</v>
      </c>
      <c r="M11" s="35">
        <f>_xlfn.XLOOKUP($A11,'Modelling New'!$D:$D,'Modelling New'!AE:AE)</f>
        <v>0.98040000000000005</v>
      </c>
      <c r="N11" s="36">
        <f>IFERROR(AVERAGEIF('Daily KPI'!$D:$D,$A11,'Daily KPI'!$O:$O),"")</f>
        <v>0.99433359821601608</v>
      </c>
    </row>
    <row r="12" spans="1:14" x14ac:dyDescent="0.3">
      <c r="A12" s="37">
        <v>45809</v>
      </c>
      <c r="B12" s="33">
        <f>_xlfn.XLOOKUP($A12,'Modelling New'!$D:$D,'Modelling New'!Q:Q)</f>
        <v>30</v>
      </c>
      <c r="C12" s="33">
        <f>_xlfn.XLOOKUP($A12,'Modelling New'!$D:$D,'Modelling New'!$R:$R)</f>
        <v>142.80000000000001</v>
      </c>
      <c r="D12" s="34">
        <f>SUMIF('Daily KPI'!$D:$D,A12,'Daily KPI'!I:I)</f>
        <v>131.59</v>
      </c>
      <c r="E12" s="33">
        <f>_xlfn.XLOOKUP($A12,'Modelling New'!$D:$D,'Modelling New'!$U:$U)</f>
        <v>777.5924493389839</v>
      </c>
      <c r="F12" s="34">
        <f>SUMIF('Daily KPI'!$D:$D,A12,'Daily KPI'!$AA:$AA)/1000</f>
        <v>831.39999999999441</v>
      </c>
      <c r="G12" s="35">
        <f>IFERROR(E12/C12/'Modelling New'!$AR$1,"")</f>
        <v>0.67889205394445518</v>
      </c>
      <c r="H12" s="36">
        <f>IFERROR(F12/D12/'Modelling New'!$AR$1,"")</f>
        <v>0.78770577850621959</v>
      </c>
      <c r="I12" s="35">
        <f>IFERROR(E12/(B12*24*'Modelling New'!$AR$1),"")</f>
        <v>0.13464692403231696</v>
      </c>
      <c r="J12" s="36">
        <f>IFERROR(F12/(B12*24*'Modelling New'!$AR$1),"")</f>
        <v>0.14396417138004644</v>
      </c>
      <c r="K12" s="35">
        <f>_xlfn.XLOOKUP($A12,'Modelling New'!$D:$D,'Modelling New'!AF:AF)</f>
        <v>0.98</v>
      </c>
      <c r="L12" s="36">
        <f>IFERROR(AVERAGEIF('Daily KPI'!$D:$D,$A12,'Daily KPI'!$R:$R),"")</f>
        <v>0.96090500273804502</v>
      </c>
      <c r="M12" s="35">
        <f>_xlfn.XLOOKUP($A12,'Modelling New'!$D:$D,'Modelling New'!AE:AE)</f>
        <v>0.98040000000000005</v>
      </c>
      <c r="N12" s="36">
        <f>IFERROR(AVERAGEIF('Daily KPI'!$D:$D,$A12,'Daily KPI'!$O:$O),"")</f>
        <v>1</v>
      </c>
    </row>
    <row r="13" spans="1:14" x14ac:dyDescent="0.3">
      <c r="A13" s="37">
        <v>45839</v>
      </c>
      <c r="B13" s="33">
        <f>_xlfn.XLOOKUP($A13,'Modelling New'!$D:$D,'Modelling New'!Q:Q)</f>
        <v>31</v>
      </c>
      <c r="C13" s="33">
        <f>_xlfn.XLOOKUP($A13,'Modelling New'!$D:$D,'Modelling New'!$R:$R)</f>
        <v>125.39999999999999</v>
      </c>
      <c r="D13" s="34">
        <f>SUMIF('Daily KPI'!$D:$D,A13,'Daily KPI'!I:I)</f>
        <v>120.35</v>
      </c>
      <c r="E13" s="33">
        <f>_xlfn.XLOOKUP($A13,'Modelling New'!$D:$D,'Modelling New'!$U:$U)</f>
        <v>710.8284232941719</v>
      </c>
      <c r="F13" s="34">
        <f>SUMIF('Daily KPI'!$D:$D,A13,'Daily KPI'!$AA:$AA)/1000</f>
        <v>751.700000000003</v>
      </c>
      <c r="G13" s="35">
        <f>IFERROR(E13/C13/'Modelling New'!$AR$1,"")</f>
        <v>0.70671473575739119</v>
      </c>
      <c r="H13" s="36">
        <f>IFERROR(F13/D13/'Modelling New'!$AR$1,"")</f>
        <v>0.77870928630196146</v>
      </c>
      <c r="I13" s="35">
        <f>IFERROR(E13/(B13*24*'Modelling New'!$AR$1),"")</f>
        <v>0.11911562884943126</v>
      </c>
      <c r="J13" s="36">
        <f>IFERROR(F13/(B13*24*'Modelling New'!$AR$1),"")</f>
        <v>0.12596460027747455</v>
      </c>
      <c r="K13" s="35">
        <f>_xlfn.XLOOKUP($A13,'Modelling New'!$D:$D,'Modelling New'!AF:AF)</f>
        <v>0.98</v>
      </c>
      <c r="L13" s="36">
        <f>IFERROR(AVERAGEIF('Daily KPI'!$D:$D,$A13,'Daily KPI'!$R:$R),"")</f>
        <v>0.97521845596917001</v>
      </c>
      <c r="M13" s="35">
        <f>_xlfn.XLOOKUP($A13,'Modelling New'!$D:$D,'Modelling New'!AE:AE)</f>
        <v>0.98040000000000005</v>
      </c>
      <c r="N13" s="36">
        <f>IFERROR(AVERAGEIF('Daily KPI'!$D:$D,$A13,'Daily KPI'!$O:$O),"")</f>
        <v>0.99672416178060996</v>
      </c>
    </row>
    <row r="14" spans="1:14" x14ac:dyDescent="0.3">
      <c r="A14" s="37">
        <v>45870</v>
      </c>
      <c r="B14" s="33">
        <f>_xlfn.XLOOKUP($A14,'Modelling New'!$D:$D,'Modelling New'!Q:Q)</f>
        <v>3</v>
      </c>
      <c r="C14" s="33">
        <f>_xlfn.XLOOKUP($A14,'Modelling New'!$D:$D,'Modelling New'!$R:$R)</f>
        <v>12.648387096774194</v>
      </c>
      <c r="D14" s="34">
        <f>SUMIF('Daily KPI'!$D:$D,A14,'Daily KPI'!I:I)</f>
        <v>16.21</v>
      </c>
      <c r="E14" s="33">
        <f>_xlfn.XLOOKUP($A14,'Modelling New'!$D:$D,'Modelling New'!$U:$U)</f>
        <v>72.819470359562573</v>
      </c>
      <c r="F14" s="34">
        <f>SUMIF('Daily KPI'!$D:$D,A14,'Daily KPI'!$AA:$AA)/1000</f>
        <v>100.84999999999707</v>
      </c>
      <c r="G14" s="35">
        <f>IFERROR(E14/C14/'Modelling New'!$AR$1,"")</f>
        <v>0.71777654975663252</v>
      </c>
      <c r="H14" s="36">
        <f>IFERROR(F14/D14/'Modelling New'!$AR$1,"")</f>
        <v>0.77565712444835244</v>
      </c>
      <c r="I14" s="35">
        <f>IFERROR(E14/(B14*24*'Modelling New'!$AR$1),"")</f>
        <v>0.12609327292095682</v>
      </c>
      <c r="J14" s="36">
        <f>IFERROR(F14/(B14*24*'Modelling New'!$AR$1),"")</f>
        <v>0.17463058315705268</v>
      </c>
      <c r="K14" s="35">
        <f>_xlfn.XLOOKUP($A14,'Modelling New'!$D:$D,'Modelling New'!AF:AF)</f>
        <v>0.98</v>
      </c>
      <c r="L14" s="36">
        <f>IFERROR(AVERAGEIF('Daily KPI'!$D:$D,$A14,'Daily KPI'!$R:$R),"")</f>
        <v>0.99748860770638981</v>
      </c>
      <c r="M14" s="35">
        <f>_xlfn.XLOOKUP($A14,'Modelling New'!$D:$D,'Modelling New'!AE:AE)</f>
        <v>0.98040000000000005</v>
      </c>
      <c r="N14" s="36">
        <f>IFERROR(AVERAGEIF('Daily KPI'!$D:$D,$A14,'Daily KPI'!$O:$O),"")</f>
        <v>1</v>
      </c>
    </row>
    <row r="15" spans="1:14" x14ac:dyDescent="0.3">
      <c r="A15" s="37">
        <v>45901</v>
      </c>
      <c r="B15" s="33">
        <f>_xlfn.XLOOKUP($A15,'Modelling New'!$D:$D,'Modelling New'!Q:Q)</f>
        <v>0</v>
      </c>
      <c r="C15" s="33">
        <f>_xlfn.XLOOKUP($A15,'Modelling New'!$D:$D,'Modelling New'!$R:$R)</f>
        <v>0</v>
      </c>
      <c r="D15" s="34">
        <f>SUMIF('Daily KPI'!$D:$D,A15,'Daily KPI'!I:I)</f>
        <v>0</v>
      </c>
      <c r="E15" s="33">
        <f>_xlfn.XLOOKUP($A15,'Modelling New'!$D:$D,'Modelling New'!$U:$U)</f>
        <v>0</v>
      </c>
      <c r="F15" s="34">
        <f>SUMIF('Daily KPI'!$D:$D,A15,'Daily KPI'!$AA:$AA)/1000</f>
        <v>0</v>
      </c>
      <c r="G15" s="35" t="str">
        <f>IFERROR(E15/C15/'Modelling New'!$AR$1,"")</f>
        <v/>
      </c>
      <c r="H15" s="36" t="str">
        <f>IFERROR(F15/D15/'Modelling New'!$AR$1,"")</f>
        <v/>
      </c>
      <c r="I15" s="35" t="str">
        <f>IFERROR(E15/(B15*24*'Modelling New'!$AR$1),"")</f>
        <v/>
      </c>
      <c r="J15" s="36" t="str">
        <f>IFERROR(F15/(B15*24*'Modelling New'!$AR$1),"")</f>
        <v/>
      </c>
      <c r="K15" s="35">
        <f>_xlfn.XLOOKUP($A15,'Modelling New'!$D:$D,'Modelling New'!AF:AF)</f>
        <v>0.98</v>
      </c>
      <c r="L15" s="36" t="str">
        <f>IFERROR(AVERAGEIF('Daily KPI'!$D:$D,$A15,'Daily KPI'!$R:$R),"")</f>
        <v/>
      </c>
      <c r="M15" s="35">
        <f>_xlfn.XLOOKUP($A15,'Modelling New'!$D:$D,'Modelling New'!AE:AE)</f>
        <v>0.98040000000000005</v>
      </c>
      <c r="N15" s="36" t="str">
        <f>IFERROR(AVERAGEIF('Daily KPI'!$D:$D,$A15,'Daily KPI'!$O:$O),"")</f>
        <v/>
      </c>
    </row>
    <row r="16" spans="1:14" x14ac:dyDescent="0.3">
      <c r="A16" s="37">
        <v>45931</v>
      </c>
      <c r="B16" s="33">
        <f>_xlfn.XLOOKUP($A16,'Modelling New'!$D:$D,'Modelling New'!Q:Q)</f>
        <v>0</v>
      </c>
      <c r="C16" s="33">
        <f>_xlfn.XLOOKUP($A16,'Modelling New'!$D:$D,'Modelling New'!$R:$R)</f>
        <v>0</v>
      </c>
      <c r="D16" s="34">
        <f>SUMIF('Daily KPI'!$D:$D,A16,'Daily KPI'!I:I)</f>
        <v>0</v>
      </c>
      <c r="E16" s="33">
        <f>_xlfn.XLOOKUP($A16,'Modelling New'!$D:$D,'Modelling New'!$U:$U)</f>
        <v>0</v>
      </c>
      <c r="F16" s="34">
        <f>SUMIF('Daily KPI'!$D:$D,A16,'Daily KPI'!$AA:$AA)/1000</f>
        <v>0</v>
      </c>
      <c r="G16" s="35" t="str">
        <f>IFERROR(E16/C16/'Modelling New'!$AR$1,"")</f>
        <v/>
      </c>
      <c r="H16" s="36" t="str">
        <f>IFERROR(F16/D16/'Modelling New'!$AR$1,"")</f>
        <v/>
      </c>
      <c r="I16" s="35" t="str">
        <f>IFERROR(E16/(B16*24*'Modelling New'!$AR$1),"")</f>
        <v/>
      </c>
      <c r="J16" s="36" t="str">
        <f>IFERROR(F16/(B16*24*'Modelling New'!$AR$1),"")</f>
        <v/>
      </c>
      <c r="K16" s="35">
        <f>_xlfn.XLOOKUP($A16,'Modelling New'!$D:$D,'Modelling New'!AF:AF)</f>
        <v>0.98</v>
      </c>
      <c r="L16" s="36" t="str">
        <f>IFERROR(AVERAGEIF('Daily KPI'!$D:$D,$A16,'Daily KPI'!$R:$R),"")</f>
        <v/>
      </c>
      <c r="M16" s="35">
        <f>_xlfn.XLOOKUP($A16,'Modelling New'!$D:$D,'Modelling New'!AE:AE)</f>
        <v>0.98040000000000005</v>
      </c>
      <c r="N16" s="36" t="str">
        <f>IFERROR(AVERAGEIF('Daily KPI'!$D:$D,$A16,'Daily KPI'!$O:$O),"")</f>
        <v/>
      </c>
    </row>
    <row r="17" spans="1:14" x14ac:dyDescent="0.3">
      <c r="A17" s="37">
        <v>45962</v>
      </c>
      <c r="B17" s="33">
        <f>_xlfn.XLOOKUP($A17,'Modelling New'!$D:$D,'Modelling New'!Q:Q)</f>
        <v>0</v>
      </c>
      <c r="C17" s="33">
        <f>_xlfn.XLOOKUP($A17,'Modelling New'!$D:$D,'Modelling New'!$R:$R)</f>
        <v>0</v>
      </c>
      <c r="D17" s="34">
        <f>SUMIF('Daily KPI'!$D:$D,A17,'Daily KPI'!I:I)</f>
        <v>0</v>
      </c>
      <c r="E17" s="33">
        <f>_xlfn.XLOOKUP($A17,'Modelling New'!$D:$D,'Modelling New'!$U:$U)</f>
        <v>0</v>
      </c>
      <c r="F17" s="34">
        <f>SUMIF('Daily KPI'!$D:$D,A17,'Daily KPI'!$AA:$AA)/1000</f>
        <v>0</v>
      </c>
      <c r="G17" s="35" t="str">
        <f>IFERROR(E17/C17/'Modelling New'!$AR$1,"")</f>
        <v/>
      </c>
      <c r="H17" s="36" t="str">
        <f>IFERROR(F17/D17/'Modelling New'!$AR$1,"")</f>
        <v/>
      </c>
      <c r="I17" s="35" t="str">
        <f>IFERROR(E17/(B17*24*'Modelling New'!$AR$1),"")</f>
        <v/>
      </c>
      <c r="J17" s="36" t="str">
        <f>IFERROR(F17/(B17*24*'Modelling New'!$AR$1),"")</f>
        <v/>
      </c>
      <c r="K17" s="35">
        <f>_xlfn.XLOOKUP($A17,'Modelling New'!$D:$D,'Modelling New'!AF:AF)</f>
        <v>0.98</v>
      </c>
      <c r="L17" s="36" t="str">
        <f>IFERROR(AVERAGEIF('Daily KPI'!$D:$D,$A17,'Daily KPI'!$R:$R),"")</f>
        <v/>
      </c>
      <c r="M17" s="35">
        <f>_xlfn.XLOOKUP($A17,'Modelling New'!$D:$D,'Modelling New'!AE:AE)</f>
        <v>0.98040000000000005</v>
      </c>
      <c r="N17" s="36" t="str">
        <f>IFERROR(AVERAGEIF('Daily KPI'!$D:$D,$A17,'Daily KPI'!$O:$O),"")</f>
        <v/>
      </c>
    </row>
    <row r="18" spans="1:14" x14ac:dyDescent="0.3">
      <c r="A18" s="37">
        <v>45992</v>
      </c>
      <c r="B18" s="33">
        <f>_xlfn.XLOOKUP($A18,'Modelling New'!$D:$D,'Modelling New'!Q:Q)</f>
        <v>0</v>
      </c>
      <c r="C18" s="33">
        <f>_xlfn.XLOOKUP($A18,'Modelling New'!$D:$D,'Modelling New'!$R:$R)</f>
        <v>0</v>
      </c>
      <c r="D18" s="34">
        <f>SUMIF('Daily KPI'!$D:$D,A18,'Daily KPI'!I:I)</f>
        <v>0</v>
      </c>
      <c r="E18" s="33">
        <f>_xlfn.XLOOKUP($A18,'Modelling New'!$D:$D,'Modelling New'!$U:$U)</f>
        <v>0</v>
      </c>
      <c r="F18" s="34">
        <f>SUMIF('Daily KPI'!$D:$D,A18,'Daily KPI'!$AA:$AA)/1000</f>
        <v>0</v>
      </c>
      <c r="G18" s="35" t="str">
        <f>IFERROR(E18/C18/'Modelling New'!$AR$1,"")</f>
        <v/>
      </c>
      <c r="H18" s="36" t="str">
        <f>IFERROR(F18/D18/'Modelling New'!$AR$1,"")</f>
        <v/>
      </c>
      <c r="I18" s="35" t="str">
        <f>IFERROR(E18/(B18*24*'Modelling New'!$AR$1),"")</f>
        <v/>
      </c>
      <c r="J18" s="36" t="str">
        <f>IFERROR(F18/(B18*24*'Modelling New'!$AR$1),"")</f>
        <v/>
      </c>
      <c r="K18" s="35">
        <f>_xlfn.XLOOKUP($A18,'Modelling New'!$D:$D,'Modelling New'!AF:AF)</f>
        <v>0.98</v>
      </c>
      <c r="L18" s="36" t="str">
        <f>IFERROR(AVERAGEIF('Daily KPI'!$D:$D,$A18,'Daily KPI'!$R:$R),"")</f>
        <v/>
      </c>
      <c r="M18" s="35">
        <f>_xlfn.XLOOKUP($A18,'Modelling New'!$D:$D,'Modelling New'!AE:AE)</f>
        <v>0.98040000000000005</v>
      </c>
      <c r="N18" s="36" t="str">
        <f>IFERROR(AVERAGEIF('Daily KPI'!$D:$D,$A18,'Daily KPI'!$O:$O),"")</f>
        <v/>
      </c>
    </row>
    <row r="19" spans="1:14" x14ac:dyDescent="0.3">
      <c r="A19" s="37">
        <v>46023</v>
      </c>
      <c r="B19" s="33">
        <f>_xlfn.XLOOKUP($A19,'Modelling New'!$D:$D,'Modelling New'!Q:Q)</f>
        <v>0</v>
      </c>
      <c r="C19" s="33">
        <f>_xlfn.XLOOKUP($A19,'Modelling New'!$D:$D,'Modelling New'!$R:$R)</f>
        <v>0</v>
      </c>
      <c r="D19" s="34">
        <f>SUMIF('Daily KPI'!$D:$D,A19,'Daily KPI'!I:I)</f>
        <v>0</v>
      </c>
      <c r="E19" s="33">
        <f>_xlfn.XLOOKUP($A19,'Modelling New'!$D:$D,'Modelling New'!$U:$U)</f>
        <v>0</v>
      </c>
      <c r="F19" s="34">
        <f>SUMIF('Daily KPI'!$D:$D,A19,'Daily KPI'!$AA:$AA)/1000</f>
        <v>0</v>
      </c>
      <c r="G19" s="35" t="str">
        <f>IFERROR(E19/C19/'Modelling New'!$AR$1,"")</f>
        <v/>
      </c>
      <c r="H19" s="36" t="str">
        <f>IFERROR(F19/D19/'Modelling New'!$AR$1,"")</f>
        <v/>
      </c>
      <c r="I19" s="35" t="str">
        <f>IFERROR(E19/(B19*24*'Modelling New'!$AR$1),"")</f>
        <v/>
      </c>
      <c r="J19" s="36" t="str">
        <f>IFERROR(F19/(B19*24*'Modelling New'!$AR$1),"")</f>
        <v/>
      </c>
      <c r="K19" s="35">
        <f>_xlfn.XLOOKUP($A19,'Modelling New'!$D:$D,'Modelling New'!AF:AF)</f>
        <v>0.98</v>
      </c>
      <c r="L19" s="36" t="str">
        <f>IFERROR(AVERAGEIF('Daily KPI'!$D:$D,$A19,'Daily KPI'!$R:$R),"")</f>
        <v/>
      </c>
      <c r="M19" s="35">
        <f>_xlfn.XLOOKUP($A19,'Modelling New'!$D:$D,'Modelling New'!AE:AE)</f>
        <v>0.98040000000000005</v>
      </c>
      <c r="N19" s="36" t="str">
        <f>IFERROR(AVERAGEIF('Daily KPI'!$D:$D,$A19,'Daily KPI'!$O:$O),"")</f>
        <v/>
      </c>
    </row>
    <row r="20" spans="1:14" x14ac:dyDescent="0.3">
      <c r="A20" s="37">
        <v>46054</v>
      </c>
      <c r="B20" s="33">
        <f>_xlfn.XLOOKUP($A20,'Modelling New'!$D:$D,'Modelling New'!Q:Q)</f>
        <v>0</v>
      </c>
      <c r="C20" s="33">
        <f>_xlfn.XLOOKUP($A20,'Modelling New'!$D:$D,'Modelling New'!$R:$R)</f>
        <v>0</v>
      </c>
      <c r="D20" s="34">
        <f>SUMIF('Daily KPI'!$D:$D,A20,'Daily KPI'!I:I)</f>
        <v>0</v>
      </c>
      <c r="E20" s="33">
        <f>_xlfn.XLOOKUP($A20,'Modelling New'!$D:$D,'Modelling New'!$U:$U)</f>
        <v>0</v>
      </c>
      <c r="F20" s="34">
        <f>SUMIF('Daily KPI'!$D:$D,A20,'Daily KPI'!$AA:$AA)/1000</f>
        <v>0</v>
      </c>
      <c r="G20" s="35" t="str">
        <f>IFERROR(E20/C20/'Modelling New'!$AR$1,"")</f>
        <v/>
      </c>
      <c r="H20" s="36" t="str">
        <f>IFERROR(F20/D20/'Modelling New'!$AR$1,"")</f>
        <v/>
      </c>
      <c r="I20" s="35" t="str">
        <f>IFERROR(E20/(B20*24*'Modelling New'!$AR$1),"")</f>
        <v/>
      </c>
      <c r="J20" s="36" t="str">
        <f>IFERROR(F20/(B20*24*'Modelling New'!$AR$1),"")</f>
        <v/>
      </c>
      <c r="K20" s="35">
        <f>_xlfn.XLOOKUP($A20,'Modelling New'!$D:$D,'Modelling New'!AF:AF)</f>
        <v>0.98</v>
      </c>
      <c r="L20" s="36" t="str">
        <f>IFERROR(AVERAGEIF('Daily KPI'!$D:$D,$A20,'Daily KPI'!$R:$R),"")</f>
        <v/>
      </c>
      <c r="M20" s="35">
        <f>_xlfn.XLOOKUP($A20,'Modelling New'!$D:$D,'Modelling New'!AE:AE)</f>
        <v>0.98040000000000005</v>
      </c>
      <c r="N20" s="36" t="str">
        <f>IFERROR(AVERAGEIF('Daily KPI'!$D:$D,$A20,'Daily KPI'!$O:$O),"")</f>
        <v/>
      </c>
    </row>
    <row r="21" spans="1:14" x14ac:dyDescent="0.3">
      <c r="A21" s="37">
        <v>46082</v>
      </c>
      <c r="B21" s="33">
        <f>_xlfn.XLOOKUP($A21,'Modelling New'!$D:$D,'Modelling New'!Q:Q)</f>
        <v>0</v>
      </c>
      <c r="C21" s="33">
        <f>_xlfn.XLOOKUP($A21,'Modelling New'!$D:$D,'Modelling New'!$R:$R)</f>
        <v>0</v>
      </c>
      <c r="D21" s="34">
        <f>SUMIF('Daily KPI'!$D:$D,A21,'Daily KPI'!I:I)</f>
        <v>0</v>
      </c>
      <c r="E21" s="33">
        <f>_xlfn.XLOOKUP($A21,'Modelling New'!$D:$D,'Modelling New'!$U:$U)</f>
        <v>0</v>
      </c>
      <c r="F21" s="34">
        <f>SUMIF('Daily KPI'!$D:$D,A21,'Daily KPI'!$AA:$AA)/1000</f>
        <v>0</v>
      </c>
      <c r="G21" s="35" t="str">
        <f>IFERROR(E21/C21/'Modelling New'!$AR$1,"")</f>
        <v/>
      </c>
      <c r="H21" s="36" t="str">
        <f>IFERROR(F21/D21/'Modelling New'!$AR$1,"")</f>
        <v/>
      </c>
      <c r="I21" s="35" t="str">
        <f>IFERROR(E21/(B21*24*'Modelling New'!$AR$1),"")</f>
        <v/>
      </c>
      <c r="J21" s="36" t="str">
        <f>IFERROR(F21/(B21*24*'Modelling New'!$AR$1),"")</f>
        <v/>
      </c>
      <c r="K21" s="35">
        <f>_xlfn.XLOOKUP($A21,'Modelling New'!$D:$D,'Modelling New'!AF:AF)</f>
        <v>0.98</v>
      </c>
      <c r="L21" s="36" t="str">
        <f>IFERROR(AVERAGEIF('Daily KPI'!$D:$D,$A21,'Daily KPI'!$R:$R),"")</f>
        <v/>
      </c>
      <c r="M21" s="35">
        <f>_xlfn.XLOOKUP($A21,'Modelling New'!$D:$D,'Modelling New'!AE:AE)</f>
        <v>0.98040000000000005</v>
      </c>
      <c r="N21" s="36" t="str">
        <f>IFERROR(AVERAGEIF('Daily KPI'!$D:$D,$A21,'Daily KPI'!$O:$O),"")</f>
        <v/>
      </c>
    </row>
  </sheetData>
  <sheetProtection algorithmName="SHA-512" hashValue="7IFhof4EWMdssLXIDQdOCtX0lB0Q5lw8/10QlQNU/RPKm3ZX+LxJL/z9yj8ScZ6+KfsbYchk/dZEzLDoEgrYxw==" saltValue="/JyHNlup2RhlTmprEDe5m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12"/>
  <sheetViews>
    <sheetView zoomScaleNormal="100" workbookViewId="0">
      <selection activeCell="N4" sqref="N4"/>
    </sheetView>
  </sheetViews>
  <sheetFormatPr defaultRowHeight="14.4" x14ac:dyDescent="0.3"/>
  <cols>
    <col min="2" max="2" width="10.77734375" bestFit="1" customWidth="1"/>
    <col min="3" max="3" width="13.44140625" customWidth="1"/>
    <col min="4" max="4" width="12" customWidth="1"/>
    <col min="5" max="5" width="12.44140625" customWidth="1"/>
    <col min="6" max="6" width="13.77734375" customWidth="1"/>
    <col min="8" max="8" width="9.44140625" customWidth="1"/>
    <col min="9" max="9" width="10.21875" customWidth="1"/>
    <col min="10" max="10" width="11.21875" customWidth="1"/>
    <col min="12" max="12" width="9.21875" customWidth="1"/>
    <col min="14" max="14" width="9.44140625" customWidth="1"/>
  </cols>
  <sheetData>
    <row r="1" spans="1:14" x14ac:dyDescent="0.3">
      <c r="A1" s="46" t="s">
        <v>104</v>
      </c>
      <c r="B1" s="47">
        <f>'Daily Dashboard'!B3</f>
        <v>45869</v>
      </c>
    </row>
    <row r="2" spans="1:14" ht="20.55" customHeight="1" x14ac:dyDescent="0.3">
      <c r="A2" s="269" t="s">
        <v>309</v>
      </c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</row>
    <row r="3" spans="1:14" ht="43.2" x14ac:dyDescent="0.3">
      <c r="A3" s="31" t="s">
        <v>75</v>
      </c>
      <c r="B3" s="31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x14ac:dyDescent="0.3">
      <c r="A4" s="37">
        <f>'Daily Dashboard'!B2</f>
        <v>45839</v>
      </c>
      <c r="B4" s="33">
        <f>DAY(B1)</f>
        <v>31</v>
      </c>
      <c r="C4" s="129">
        <f>_xlfn.XLOOKUP($A$4,'Modelling New'!$D:$D,'Modelling New'!$R:$R)</f>
        <v>125.39999999999999</v>
      </c>
      <c r="D4" s="60">
        <f>SUMIF('Daily KPI'!$D:$D,'Monthly KPI'!A4,'Daily KPI'!$I:$I)</f>
        <v>120.35</v>
      </c>
      <c r="E4" s="33">
        <f>_xlfn.XLOOKUP($A$4,'Modelling New'!$D:$D,'Modelling New'!U:U)</f>
        <v>710.8284232941719</v>
      </c>
      <c r="F4" s="60">
        <f>SUMIF('Daily KPI'!$D:$D,'Monthly KPI'!A4,'Daily KPI'!AA:AA)/1000</f>
        <v>751.700000000003</v>
      </c>
      <c r="G4" s="35">
        <f>IFERROR(E4/C4/'Modelling New'!$AR$1,"")</f>
        <v>0.70671473575739119</v>
      </c>
      <c r="H4" s="36">
        <f>IFERROR(F4/D4/'Modelling New'!$AR$1,"")</f>
        <v>0.77870928630196146</v>
      </c>
      <c r="I4" s="35">
        <f>IFERROR(E4/(B4*24*'Modelling New'!$AR$1),"")</f>
        <v>0.11911562884943126</v>
      </c>
      <c r="J4" s="36">
        <f>IFERROR(F4/(B4*24*'Modelling New'!$AR$1),"")</f>
        <v>0.12596460027747455</v>
      </c>
      <c r="K4" s="35">
        <f>_xlfn.XLOOKUP($A$4,'Modelling New'!$D:$D,'Modelling New'!AF:AF)</f>
        <v>0.98</v>
      </c>
      <c r="L4" s="36">
        <f>IFERROR(AVERAGEIF('Daily KPI'!$D:$D,'Monthly KPI'!$A$4,'Daily KPI'!R:R),"")</f>
        <v>0.97521845596917001</v>
      </c>
      <c r="M4" s="35">
        <f>_xlfn.XLOOKUP($A$4,'Modelling New'!$D:$D,'Modelling New'!AE:AE)</f>
        <v>0.98040000000000005</v>
      </c>
      <c r="N4" s="36">
        <f>IFERROR(AVERAGEIF('Daily KPI'!$D:$D,'Monthly KPI'!$A$4,'Daily KPI'!O:O),"")</f>
        <v>0.99672416178060996</v>
      </c>
    </row>
    <row r="7" spans="1:14" x14ac:dyDescent="0.3">
      <c r="A7" s="46" t="s">
        <v>314</v>
      </c>
      <c r="B7" s="47">
        <f>B8-6</f>
        <v>45863</v>
      </c>
    </row>
    <row r="8" spans="1:14" x14ac:dyDescent="0.3">
      <c r="A8" s="46" t="s">
        <v>315</v>
      </c>
      <c r="B8" s="47">
        <f>B1</f>
        <v>45869</v>
      </c>
    </row>
    <row r="10" spans="1:14" ht="21" x14ac:dyDescent="0.3">
      <c r="A10" s="269" t="s">
        <v>316</v>
      </c>
      <c r="B10" s="269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</row>
    <row r="11" spans="1:14" ht="43.2" x14ac:dyDescent="0.3">
      <c r="A11" s="31" t="s">
        <v>74</v>
      </c>
      <c r="B11" s="31" t="s">
        <v>54</v>
      </c>
      <c r="C11" s="32" t="s">
        <v>86</v>
      </c>
      <c r="D11" s="32" t="s">
        <v>87</v>
      </c>
      <c r="E11" s="32" t="s">
        <v>88</v>
      </c>
      <c r="F11" s="32" t="s">
        <v>89</v>
      </c>
      <c r="G11" s="32" t="s">
        <v>90</v>
      </c>
      <c r="H11" s="32" t="s">
        <v>91</v>
      </c>
      <c r="I11" s="32" t="s">
        <v>92</v>
      </c>
      <c r="J11" s="32" t="s">
        <v>93</v>
      </c>
      <c r="K11" s="32" t="s">
        <v>94</v>
      </c>
      <c r="L11" s="32" t="s">
        <v>95</v>
      </c>
      <c r="M11" s="32" t="s">
        <v>96</v>
      </c>
      <c r="N11" s="32" t="s">
        <v>97</v>
      </c>
    </row>
    <row r="12" spans="1:14" x14ac:dyDescent="0.3">
      <c r="A12" s="37">
        <f>A4</f>
        <v>45839</v>
      </c>
      <c r="B12" s="33">
        <f>(B8-B7)+1</f>
        <v>7</v>
      </c>
      <c r="C12" s="33">
        <f>SUMIFS('Daily KPI'!$AC:$AC,'Daily KPI'!$A:$A,"&gt;="&amp;$B$7,'Daily KPI'!$A:$A,"&lt;="&amp;$B$8)</f>
        <v>28.316129032258068</v>
      </c>
      <c r="D12" s="34">
        <f>SUMIFS('Daily KPI'!$I:$I,'Daily KPI'!$A:$A,"&gt;="&amp;$B$7,'Daily KPI'!$A:$A,"&lt;="&amp;$B$8)</f>
        <v>24.709999999999997</v>
      </c>
      <c r="E12" s="33">
        <f>SUMIFS('Daily KPI'!$AD:$AD,'Daily KPI'!$A:$A,"&gt;="&amp;$B$7,'Daily KPI'!$A:$A,"&lt;="&amp;$B$8)/1000</f>
        <v>160.50964396965176</v>
      </c>
      <c r="F12" s="34">
        <f>SUMIFS('Daily KPI'!$AA:$AA,'Daily KPI'!$A:$A,"&gt;="&amp;$B$7,'Daily KPI'!$A:$A,"&lt;="&amp;$B$8)/1000</f>
        <v>150.30000000000001</v>
      </c>
      <c r="G12" s="35">
        <f>IFERROR(E12/C12/'Modelling New'!$AR$1,"")</f>
        <v>0.7067147357573913</v>
      </c>
      <c r="H12" s="36">
        <f>IFERROR(F12/D12/'Modelling New'!$AR$1,"")</f>
        <v>0.75833854916031085</v>
      </c>
      <c r="I12" s="35">
        <f>IFERROR(E12/(B12*24*'Modelling New'!$AR$1),"")</f>
        <v>0.11911562884943129</v>
      </c>
      <c r="J12" s="36">
        <f>IFERROR(F12/(B12*24*'Modelling New'!$AR$1),"")</f>
        <v>0.11153896160566236</v>
      </c>
      <c r="K12" s="35">
        <f>_xlfn.XLOOKUP($A$12,'Modelling New'!$D:$D,'Modelling New'!AF:AF)</f>
        <v>0.98</v>
      </c>
      <c r="L12" s="36">
        <f>AVERAGEIFS('Daily KPI'!$R:$R,'Daily KPI'!$A:$A,"&gt;="&amp;$B$7,'Daily KPI'!$A:$A,"&lt;="&amp;$B$8)</f>
        <v>0.96299529483424295</v>
      </c>
      <c r="M12" s="35">
        <f>_xlfn.XLOOKUP($A$12,'Modelling New'!$D:$D,'Modelling New'!AE:AE)</f>
        <v>0.98040000000000005</v>
      </c>
      <c r="N12" s="36">
        <f>AVERAGEIFS('Daily KPI'!$O:$O,'Daily KPI'!$A:$A,"&gt;="&amp;$B$7,'Daily KPI'!$A:$A,"&lt;="&amp;$B$8)</f>
        <v>0.98953973072039825</v>
      </c>
    </row>
  </sheetData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sheetPr codeName="Sheet5"/>
  <dimension ref="A1:AV369"/>
  <sheetViews>
    <sheetView zoomScale="85" zoomScaleNormal="80" workbookViewId="0">
      <pane xSplit="1" ySplit="1" topLeftCell="B113" activePane="bottomRight" state="frozen"/>
      <selection activeCell="AB39" sqref="AB39"/>
      <selection pane="topRight" activeCell="AB39" sqref="AB39"/>
      <selection pane="bottomLeft" activeCell="AB39" sqref="AB39"/>
      <selection pane="bottomRight" activeCell="A128" sqref="A128"/>
    </sheetView>
  </sheetViews>
  <sheetFormatPr defaultColWidth="8.77734375" defaultRowHeight="14.4" x14ac:dyDescent="0.3"/>
  <cols>
    <col min="1" max="1" width="10.21875" style="7" bestFit="1" customWidth="1"/>
    <col min="2" max="5" width="9" style="7" customWidth="1"/>
    <col min="6" max="9" width="10.21875" style="7" customWidth="1"/>
    <col min="10" max="12" width="11.21875" style="7" customWidth="1"/>
    <col min="13" max="13" width="15.21875" style="7" bestFit="1" customWidth="1"/>
    <col min="14" max="37" width="11.21875" style="7" customWidth="1"/>
    <col min="38" max="39" width="11.21875" style="138" customWidth="1"/>
    <col min="40" max="40" width="11.21875" style="165" customWidth="1"/>
    <col min="41" max="43" width="11.21875" style="7" customWidth="1"/>
    <col min="44" max="44" width="8.77734375" style="101"/>
    <col min="45" max="45" width="8.77734375" style="7"/>
    <col min="46" max="47" width="13.44140625" style="7" customWidth="1"/>
    <col min="48" max="48" width="12" style="7" customWidth="1"/>
    <col min="49" max="16384" width="8.77734375" style="7"/>
  </cols>
  <sheetData>
    <row r="1" spans="1:48" ht="57.6" x14ac:dyDescent="0.3">
      <c r="A1" s="96" t="s">
        <v>40</v>
      </c>
      <c r="B1" s="97" t="s">
        <v>1080</v>
      </c>
      <c r="C1" s="97" t="s">
        <v>1081</v>
      </c>
      <c r="D1" s="97" t="s">
        <v>39</v>
      </c>
      <c r="E1" s="97" t="s">
        <v>54</v>
      </c>
      <c r="F1" s="98" t="s">
        <v>85</v>
      </c>
      <c r="G1" s="98" t="s">
        <v>1082</v>
      </c>
      <c r="H1" s="98" t="s">
        <v>1083</v>
      </c>
      <c r="I1" s="98" t="s">
        <v>1084</v>
      </c>
      <c r="J1" s="98" t="s">
        <v>1085</v>
      </c>
      <c r="K1" s="98" t="s">
        <v>1086</v>
      </c>
      <c r="L1" s="98" t="s">
        <v>1087</v>
      </c>
      <c r="M1" s="98" t="s">
        <v>1088</v>
      </c>
      <c r="N1" s="98" t="s">
        <v>1089</v>
      </c>
      <c r="O1" s="98" t="s">
        <v>84</v>
      </c>
      <c r="P1" s="98" t="s">
        <v>1090</v>
      </c>
      <c r="Q1" s="98" t="s">
        <v>1091</v>
      </c>
      <c r="R1" s="98" t="s">
        <v>1092</v>
      </c>
      <c r="S1" s="98" t="s">
        <v>1093</v>
      </c>
      <c r="T1" s="98" t="s">
        <v>1094</v>
      </c>
      <c r="U1" s="98" t="s">
        <v>83</v>
      </c>
      <c r="V1" s="98" t="s">
        <v>1095</v>
      </c>
      <c r="W1" s="98" t="s">
        <v>1096</v>
      </c>
      <c r="X1" s="98" t="s">
        <v>1097</v>
      </c>
      <c r="Y1" s="98" t="s">
        <v>1098</v>
      </c>
      <c r="Z1" s="98" t="s">
        <v>1099</v>
      </c>
      <c r="AA1" s="98" t="s">
        <v>1100</v>
      </c>
      <c r="AB1" s="98" t="s">
        <v>1101</v>
      </c>
      <c r="AC1" s="98" t="s">
        <v>1102</v>
      </c>
      <c r="AD1" s="98" t="s">
        <v>1103</v>
      </c>
      <c r="AE1" s="98" t="s">
        <v>1104</v>
      </c>
      <c r="AF1" s="98" t="s">
        <v>1105</v>
      </c>
      <c r="AG1" s="98" t="s">
        <v>1106</v>
      </c>
      <c r="AH1" s="98" t="s">
        <v>1107</v>
      </c>
      <c r="AI1" s="98" t="s">
        <v>1108</v>
      </c>
      <c r="AJ1" s="98" t="s">
        <v>1109</v>
      </c>
      <c r="AK1" s="98" t="s">
        <v>1110</v>
      </c>
      <c r="AL1" s="137" t="s">
        <v>1111</v>
      </c>
      <c r="AM1" s="137" t="s">
        <v>1112</v>
      </c>
      <c r="AN1" s="99" t="s">
        <v>1113</v>
      </c>
      <c r="AO1" s="98" t="s">
        <v>1114</v>
      </c>
      <c r="AP1" s="98" t="s">
        <v>1115</v>
      </c>
      <c r="AQ1" s="98" t="s">
        <v>1116</v>
      </c>
      <c r="AR1" s="98" t="s">
        <v>1181</v>
      </c>
      <c r="AS1" s="98" t="s">
        <v>1182</v>
      </c>
      <c r="AT1" s="98" t="s">
        <v>1205</v>
      </c>
      <c r="AU1" s="98" t="s">
        <v>1206</v>
      </c>
      <c r="AV1" s="98" t="s">
        <v>1204</v>
      </c>
    </row>
    <row r="2" spans="1:48" x14ac:dyDescent="0.3">
      <c r="A2" s="100">
        <v>45745</v>
      </c>
      <c r="B2" s="101">
        <f>YEAR(Table13[[#This Row],[Date]])+IF(MONTH(Table13[[#This Row],[Date]])&gt;=4,1,0)</f>
        <v>2025</v>
      </c>
      <c r="C2" s="7">
        <f>YEAR(Table13[[#This Row],[Date]])</f>
        <v>2025</v>
      </c>
      <c r="D2" s="102">
        <f>Table13[[#This Row],[Date]]-DAY(Table13[[#This Row],[Date]])+1</f>
        <v>45717</v>
      </c>
      <c r="E2" s="7">
        <f t="shared" ref="E2:E52" si="0">DAY(EOMONTH(A2,0))</f>
        <v>31</v>
      </c>
      <c r="F2" s="103">
        <f>IFERROR(_xlfn.XLOOKUP($A2,'Raw Data'!$G:$G,'Raw Data'!$AM:$AM),"")</f>
        <v>12.083333333333336</v>
      </c>
      <c r="G2" s="104">
        <f>IFERROR(_xlfn.XLOOKUP($A2,'Raw Data'!$G:$G,'Raw Data'!$AB:$AB),"")</f>
        <v>0</v>
      </c>
      <c r="H2" s="104"/>
      <c r="I2" s="104">
        <f>IFERROR(_xlfn.XLOOKUP($A2,'Raw Data'!$G:$G,'Raw Data'!$AC:$AC),"")</f>
        <v>5.53</v>
      </c>
      <c r="J2" s="104"/>
      <c r="K2" s="104">
        <f>IFERROR(_xlfn.XLOOKUP($A2,'Raw Data'!$G:$G,'Raw Data'!AD:AD),"")</f>
        <v>0</v>
      </c>
      <c r="L2" s="104">
        <f>IFERROR(_xlfn.XLOOKUP($A2,'Raw Data'!$G:$G,'Raw Data'!AE:AE),"")</f>
        <v>45.37</v>
      </c>
      <c r="M2" s="104">
        <f>IFERROR(_xlfn.XLOOKUP($A2,'Raw Data'!$G:$G,'Raw Data'!AF:AF),"")</f>
        <v>0</v>
      </c>
      <c r="N2" s="104">
        <f>IFERROR(_xlfn.XLOOKUP($A2,'Raw Data'!$G:$G,'Raw Data'!AG:AG),"")</f>
        <v>0</v>
      </c>
      <c r="O2" s="105" t="str">
        <f>IFERROR(1-SUMIF('Plant BD'!$B:$B,$A2,'Plant BD'!$AM:$AM)/($AA2+SUMIF('Plant BD'!$B:$B,$A2,'Plant BD'!$AM:$AM)),"")</f>
        <v/>
      </c>
      <c r="P2" s="105"/>
      <c r="Q2" s="106"/>
      <c r="R2" s="105" t="str">
        <f>IFERROR(1-SUMIF('Grid BD'!$B:$B,$A2,'Grid BD'!$AE:$AE)/($AA2+SUMIF('Grid BD'!$B:$B,$A2,'Grid BD'!$AE:$AE)),"")</f>
        <v/>
      </c>
      <c r="T2" s="106"/>
      <c r="U2" s="107" t="str">
        <f t="shared" ref="U2:U52" si="1">IFERROR(AA2/I2/AB2/1000,"")</f>
        <v/>
      </c>
      <c r="V2" s="107"/>
      <c r="W2" s="108" t="str">
        <f t="shared" ref="W2:W52" si="2">IFERROR(AA2/(24*AB2*1000),"")</f>
        <v/>
      </c>
      <c r="X2" s="101">
        <f>IFERROR(_xlfn.XLOOKUP($A2,'Raw Data'!$G:$G,'Raw Data'!AI:AI),"")</f>
        <v>25201</v>
      </c>
      <c r="Y2" s="101" t="str">
        <f>IFERROR(_xlfn.XLOOKUP($A2,'Raw Data'!$G:$G,'Raw Data'!AJ:AJ),"")</f>
        <v/>
      </c>
      <c r="Z2" s="101" t="str">
        <f>IFERROR(_xlfn.XLOOKUP($A2,'Raw Data'!$G:$G,'Raw Data'!AK:AK),"")</f>
        <v/>
      </c>
      <c r="AA2" s="101" t="str">
        <f>IFERROR(_xlfn.XLOOKUP($A2,'Raw Data'!$G:$G,'Raw Data'!$AL:$AL)*(1+(_xlfn.XLOOKUP(Table13[[#This Row],[Month Year]],JMR!$A:$A,JMR!$J:$J))),"")</f>
        <v/>
      </c>
      <c r="AB2" s="101">
        <f>IFERROR(_xlfn.XLOOKUP($A2,'Raw Data'!$G:$G,'Raw Data'!H:H),"")</f>
        <v>8.0208999999999993</v>
      </c>
      <c r="AC2" s="67">
        <f>IFERROR(_xlfn.XLOOKUP($D2,'Modelling New'!$D:$D,'Modelling New'!P:P),"")</f>
        <v>6.7870967741935484</v>
      </c>
      <c r="AD2" s="101">
        <f>IFERROR(_xlfn.XLOOKUP($D2,'Modelling New'!$D:$D,'Modelling New'!$T:$T)*1000,"")</f>
        <v>38844.774238777645</v>
      </c>
      <c r="AE2" s="109">
        <f>IFERROR(_xlfn.XLOOKUP($D2,'Modelling New'!$D:$D,'Modelling New'!O:O),"")</f>
        <v>0.71355172148533519</v>
      </c>
      <c r="AF2" s="108">
        <f>IFERROR(_xlfn.XLOOKUP($D2,'Modelling New'!$D:$D,'Modelling New'!W:W),"")</f>
        <v>0.20178935779639051</v>
      </c>
      <c r="AG2" s="108">
        <f>IFERROR(_xlfn.XLOOKUP($D2,'Modelling New'!$D:$D,'Modelling New'!AE:AE),"")</f>
        <v>0.98040000000000005</v>
      </c>
      <c r="AH2" s="128">
        <f>IFERROR(_xlfn.XLOOKUP($D2,'Modelling New'!$D:$D,'Modelling New'!AF:AF),"")</f>
        <v>0.98</v>
      </c>
      <c r="AN2" s="105"/>
      <c r="AO2" s="108"/>
      <c r="AP2" s="108"/>
      <c r="AQ2" s="108"/>
      <c r="AR2" s="101">
        <f>'Basic Data'!$B$98/1000</f>
        <v>8.0208999999999993</v>
      </c>
      <c r="AT2" s="7">
        <f>IFERROR(_xlfn.XLOOKUP(Table13[[#This Row],[Date]],'Raw Data'!$G:$G,'Raw Data'!$AN:$AN),"")</f>
        <v>0</v>
      </c>
      <c r="AU2" s="7">
        <f>IFERROR(_xlfn.XLOOKUP(Table13[[#This Row],[Month Year]],'Modelling New'!$D:$D,'Modelling New'!$AO:$AO),"")</f>
        <v>8</v>
      </c>
      <c r="AV2" s="7">
        <f>SUMIF('Curtailment Records'!$C:$C,Table13[[#This Row],[Date]],'Curtailment Records'!$R:$R)/1000</f>
        <v>0</v>
      </c>
    </row>
    <row r="3" spans="1:48" x14ac:dyDescent="0.3">
      <c r="A3" s="100">
        <f t="shared" ref="A3:A53" si="3">A2+1</f>
        <v>45746</v>
      </c>
      <c r="B3" s="101">
        <f>YEAR(Table13[[#This Row],[Date]])+IF(MONTH(Table13[[#This Row],[Date]])&gt;=4,1,0)</f>
        <v>2025</v>
      </c>
      <c r="C3" s="7">
        <f>YEAR(Table13[[#This Row],[Date]])</f>
        <v>2025</v>
      </c>
      <c r="D3" s="102">
        <f>Table13[[#This Row],[Date]]-DAY(Table13[[#This Row],[Date]])+1</f>
        <v>45717</v>
      </c>
      <c r="E3" s="7">
        <f t="shared" si="0"/>
        <v>31</v>
      </c>
      <c r="F3" s="103">
        <f>IFERROR(_xlfn.XLOOKUP($A3,'Raw Data'!$G:$G,'Raw Data'!$AM:$AM),"")</f>
        <v>12.1</v>
      </c>
      <c r="G3" s="104">
        <f>IFERROR(_xlfn.XLOOKUP($A3,'Raw Data'!$G:$G,'Raw Data'!$AB:$AB),"")</f>
        <v>0</v>
      </c>
      <c r="H3" s="104"/>
      <c r="I3" s="104">
        <f>IFERROR(_xlfn.XLOOKUP($A3,'Raw Data'!$G:$G,'Raw Data'!$AC:$AC),"")</f>
        <v>5.95</v>
      </c>
      <c r="J3" s="104"/>
      <c r="K3" s="104">
        <f>IFERROR(_xlfn.XLOOKUP($A3,'Raw Data'!$G:$G,'Raw Data'!AD:AD),"")</f>
        <v>0</v>
      </c>
      <c r="L3" s="104">
        <f>IFERROR(_xlfn.XLOOKUP($A3,'Raw Data'!$G:$G,'Raw Data'!AE:AE),"")</f>
        <v>45.2</v>
      </c>
      <c r="M3" s="104">
        <f>IFERROR(_xlfn.XLOOKUP($A3,'Raw Data'!$G:$G,'Raw Data'!AF:AF),"")</f>
        <v>0</v>
      </c>
      <c r="N3" s="104">
        <f>IFERROR(_xlfn.XLOOKUP($A3,'Raw Data'!$G:$G,'Raw Data'!AG:AG),"")</f>
        <v>0</v>
      </c>
      <c r="O3" s="105" t="str">
        <f>IFERROR(1-SUMIF('Plant BD'!$B:$B,$A3,'Plant BD'!$AM:$AM)/($AA3+SUMIF('Plant BD'!$B:$B,$A3,'Plant BD'!$AM:$AM)),"")</f>
        <v/>
      </c>
      <c r="P3" s="105"/>
      <c r="Q3" s="106"/>
      <c r="R3" s="105" t="str">
        <f>IFERROR(1-SUMIF('Grid BD'!$B:$B,$A3,'Grid BD'!$AE:$AE)/($AA3+SUMIF('Grid BD'!$B:$B,$A3,'Grid BD'!$AE:$AE)),"")</f>
        <v/>
      </c>
      <c r="T3" s="106"/>
      <c r="U3" s="107" t="str">
        <f t="shared" si="1"/>
        <v/>
      </c>
      <c r="V3" s="107"/>
      <c r="W3" s="108" t="str">
        <f t="shared" si="2"/>
        <v/>
      </c>
      <c r="X3" s="101">
        <f>IFERROR(_xlfn.XLOOKUP($A3,'Raw Data'!$G:$G,'Raw Data'!AI:AI),"")</f>
        <v>27454</v>
      </c>
      <c r="Y3" s="101">
        <f>IFERROR(_xlfn.XLOOKUP($A3,'Raw Data'!$G:$G,'Raw Data'!AJ:AJ),"")</f>
        <v>27199.99999999709</v>
      </c>
      <c r="Z3" s="101">
        <f>IFERROR(_xlfn.XLOOKUP($A3,'Raw Data'!$G:$G,'Raw Data'!AK:AK),"")</f>
        <v>99.999999999965894</v>
      </c>
      <c r="AA3" s="101" t="str">
        <f>IFERROR(_xlfn.XLOOKUP($A3,'Raw Data'!$G:$G,'Raw Data'!$AL:$AL)*(1+(_xlfn.XLOOKUP(Table13[[#This Row],[Month Year]],JMR!$A:$A,JMR!$J:$J))),"")</f>
        <v/>
      </c>
      <c r="AB3" s="101">
        <f>IFERROR(_xlfn.XLOOKUP($A3,'Raw Data'!$G:$G,'Raw Data'!H:H),"")</f>
        <v>8.0208999999999993</v>
      </c>
      <c r="AC3" s="67">
        <f>IFERROR(_xlfn.XLOOKUP($D3,'Modelling New'!$D:$D,'Modelling New'!P:P),"")</f>
        <v>6.7870967741935484</v>
      </c>
      <c r="AD3" s="101">
        <f>IFERROR(_xlfn.XLOOKUP($D3,'Modelling New'!$D:$D,'Modelling New'!$T:$T)*1000,"")</f>
        <v>38844.774238777645</v>
      </c>
      <c r="AE3" s="109">
        <f>IFERROR(_xlfn.XLOOKUP($D3,'Modelling New'!$D:$D,'Modelling New'!O:O),"")</f>
        <v>0.71355172148533519</v>
      </c>
      <c r="AF3" s="108">
        <f>IFERROR(_xlfn.XLOOKUP($D3,'Modelling New'!$D:$D,'Modelling New'!W:W),"")</f>
        <v>0.20178935779639051</v>
      </c>
      <c r="AG3" s="108">
        <f>IFERROR(_xlfn.XLOOKUP($D3,'Modelling New'!$D:$D,'Modelling New'!AE:AE),"")</f>
        <v>0.98040000000000005</v>
      </c>
      <c r="AH3" s="128">
        <f>IFERROR(_xlfn.XLOOKUP($D3,'Modelling New'!$D:$D,'Modelling New'!AF:AF),"")</f>
        <v>0.98</v>
      </c>
      <c r="AN3" s="105"/>
      <c r="AO3" s="108"/>
      <c r="AP3" s="108"/>
      <c r="AQ3" s="108"/>
      <c r="AR3" s="101">
        <f>'Basic Data'!$B$98/1000</f>
        <v>8.0208999999999993</v>
      </c>
      <c r="AT3" s="7">
        <f>IFERROR(_xlfn.XLOOKUP(Table13[[#This Row],[Date]],'Raw Data'!$G:$G,'Raw Data'!$AN:$AN),"")</f>
        <v>0</v>
      </c>
      <c r="AU3" s="7">
        <f>IFERROR(_xlfn.XLOOKUP(Table13[[#This Row],[Month Year]],'Modelling New'!$D:$D,'Modelling New'!$AO:$AO),"")</f>
        <v>8</v>
      </c>
      <c r="AV3" s="7">
        <f>SUMIF('Curtailment Records'!$C:$C,Table13[[#This Row],[Date]],'Curtailment Records'!$R:$R)/1000</f>
        <v>0</v>
      </c>
    </row>
    <row r="4" spans="1:48" x14ac:dyDescent="0.3">
      <c r="A4" s="100">
        <f t="shared" si="3"/>
        <v>45747</v>
      </c>
      <c r="B4" s="101">
        <f>YEAR(Table13[[#This Row],[Date]])+IF(MONTH(Table13[[#This Row],[Date]])&gt;=4,1,0)</f>
        <v>2025</v>
      </c>
      <c r="C4" s="7">
        <f>YEAR(Table13[[#This Row],[Date]])</f>
        <v>2025</v>
      </c>
      <c r="D4" s="102">
        <f>Table13[[#This Row],[Date]]-DAY(Table13[[#This Row],[Date]])+1</f>
        <v>45717</v>
      </c>
      <c r="E4" s="7">
        <f t="shared" si="0"/>
        <v>31</v>
      </c>
      <c r="F4" s="103">
        <f>IFERROR(_xlfn.XLOOKUP($A4,'Raw Data'!$G:$G,'Raw Data'!$AM:$AM),"")</f>
        <v>12.150000000000002</v>
      </c>
      <c r="G4" s="104">
        <f>IFERROR(_xlfn.XLOOKUP($A4,'Raw Data'!$G:$G,'Raw Data'!$AB:$AB),"")</f>
        <v>0</v>
      </c>
      <c r="H4" s="104"/>
      <c r="I4" s="104">
        <f>IFERROR(_xlfn.XLOOKUP($A4,'Raw Data'!$G:$G,'Raw Data'!$AC:$AC),"")</f>
        <v>5.99</v>
      </c>
      <c r="J4" s="104"/>
      <c r="K4" s="104">
        <f>IFERROR(_xlfn.XLOOKUP($A4,'Raw Data'!$G:$G,'Raw Data'!AD:AD),"")</f>
        <v>0</v>
      </c>
      <c r="L4" s="104">
        <f>IFERROR(_xlfn.XLOOKUP($A4,'Raw Data'!$G:$G,'Raw Data'!AE:AE),"")</f>
        <v>44.04</v>
      </c>
      <c r="M4" s="104">
        <f>IFERROR(_xlfn.XLOOKUP($A4,'Raw Data'!$G:$G,'Raw Data'!AF:AF),"")</f>
        <v>0</v>
      </c>
      <c r="N4" s="104">
        <f>IFERROR(_xlfn.XLOOKUP($A4,'Raw Data'!$G:$G,'Raw Data'!AG:AG),"")</f>
        <v>0</v>
      </c>
      <c r="O4" s="105" t="str">
        <f>IFERROR(1-SUMIF('Plant BD'!$B:$B,$A4,'Plant BD'!$AM:$AM)/($AA4+SUMIF('Plant BD'!$B:$B,$A4,'Plant BD'!$AM:$AM)),"")</f>
        <v/>
      </c>
      <c r="P4" s="105"/>
      <c r="Q4" s="106"/>
      <c r="R4" s="105" t="str">
        <f>IFERROR(1-SUMIF('Grid BD'!$B:$B,$A4,'Grid BD'!$AE:$AE)/($AA4+SUMIF('Grid BD'!$B:$B,$A4,'Grid BD'!$AE:$AE)),"")</f>
        <v/>
      </c>
      <c r="T4" s="106"/>
      <c r="U4" s="107" t="str">
        <f t="shared" si="1"/>
        <v/>
      </c>
      <c r="V4" s="107"/>
      <c r="W4" s="108" t="str">
        <f t="shared" si="2"/>
        <v/>
      </c>
      <c r="X4" s="101">
        <f>IFERROR(_xlfn.XLOOKUP($A4,'Raw Data'!$G:$G,'Raw Data'!AI:AI),"")</f>
        <v>27676.2</v>
      </c>
      <c r="Y4" s="101">
        <f>IFERROR(_xlfn.XLOOKUP($A4,'Raw Data'!$G:$G,'Raw Data'!AJ:AJ),"")</f>
        <v>27400.000000008731</v>
      </c>
      <c r="Z4" s="101">
        <f>IFERROR(_xlfn.XLOOKUP($A4,'Raw Data'!$G:$G,'Raw Data'!AK:AK),"")</f>
        <v>100.00000000002274</v>
      </c>
      <c r="AA4" s="101" t="str">
        <f>IFERROR(_xlfn.XLOOKUP($A4,'Raw Data'!$G:$G,'Raw Data'!$AL:$AL)*(1+(_xlfn.XLOOKUP(Table13[[#This Row],[Month Year]],JMR!$A:$A,JMR!$J:$J))),"")</f>
        <v/>
      </c>
      <c r="AB4" s="101">
        <f>IFERROR(_xlfn.XLOOKUP($A4,'Raw Data'!$G:$G,'Raw Data'!H:H),"")</f>
        <v>8.0208999999999993</v>
      </c>
      <c r="AC4" s="67">
        <f>IFERROR(_xlfn.XLOOKUP($D4,'Modelling New'!$D:$D,'Modelling New'!P:P),"")</f>
        <v>6.7870967741935484</v>
      </c>
      <c r="AD4" s="101">
        <f>IFERROR(_xlfn.XLOOKUP($D4,'Modelling New'!$D:$D,'Modelling New'!$T:$T)*1000,"")</f>
        <v>38844.774238777645</v>
      </c>
      <c r="AE4" s="109">
        <f>IFERROR(_xlfn.XLOOKUP($D4,'Modelling New'!$D:$D,'Modelling New'!O:O),"")</f>
        <v>0.71355172148533519</v>
      </c>
      <c r="AF4" s="108">
        <f>IFERROR(_xlfn.XLOOKUP($D4,'Modelling New'!$D:$D,'Modelling New'!W:W),"")</f>
        <v>0.20178935779639051</v>
      </c>
      <c r="AG4" s="108">
        <f>IFERROR(_xlfn.XLOOKUP($D4,'Modelling New'!$D:$D,'Modelling New'!AE:AE),"")</f>
        <v>0.98040000000000005</v>
      </c>
      <c r="AH4" s="128">
        <f>IFERROR(_xlfn.XLOOKUP($D4,'Modelling New'!$D:$D,'Modelling New'!AF:AF),"")</f>
        <v>0.98</v>
      </c>
      <c r="AN4" s="105"/>
      <c r="AO4" s="108"/>
      <c r="AP4" s="108"/>
      <c r="AQ4" s="108"/>
      <c r="AR4" s="101">
        <f>'Basic Data'!$B$98/1000</f>
        <v>8.0208999999999993</v>
      </c>
      <c r="AT4" s="7">
        <f>IFERROR(_xlfn.XLOOKUP(Table13[[#This Row],[Date]],'Raw Data'!$G:$G,'Raw Data'!$AN:$AN),"")</f>
        <v>0</v>
      </c>
      <c r="AU4" s="7">
        <f>IFERROR(_xlfn.XLOOKUP(Table13[[#This Row],[Month Year]],'Modelling New'!$D:$D,'Modelling New'!$AO:$AO),"")</f>
        <v>8</v>
      </c>
      <c r="AV4" s="7">
        <f>SUMIF('Curtailment Records'!$C:$C,Table13[[#This Row],[Date]],'Curtailment Records'!$R:$R)/1000</f>
        <v>0</v>
      </c>
    </row>
    <row r="5" spans="1:48" x14ac:dyDescent="0.3">
      <c r="A5" s="100">
        <f t="shared" si="3"/>
        <v>45748</v>
      </c>
      <c r="B5" s="101">
        <f>YEAR(Table13[[#This Row],[Date]])+IF(MONTH(Table13[[#This Row],[Date]])&gt;=4,1,0)</f>
        <v>2026</v>
      </c>
      <c r="C5" s="7">
        <f>YEAR(Table13[[#This Row],[Date]])</f>
        <v>2025</v>
      </c>
      <c r="D5" s="102">
        <f>Table13[[#This Row],[Date]]-DAY(Table13[[#This Row],[Date]])+1</f>
        <v>45748</v>
      </c>
      <c r="E5" s="7">
        <f t="shared" si="0"/>
        <v>30</v>
      </c>
      <c r="F5" s="103">
        <f>IFERROR(_xlfn.XLOOKUP($A5,'Raw Data'!$G:$G,'Raw Data'!$AM:$AM),"")</f>
        <v>12.050000000000002</v>
      </c>
      <c r="G5" s="104">
        <f>IFERROR(_xlfn.XLOOKUP($A5,'Raw Data'!$G:$G,'Raw Data'!$AB:$AB),"")</f>
        <v>0</v>
      </c>
      <c r="H5" s="104"/>
      <c r="I5" s="104">
        <f>IFERROR(_xlfn.XLOOKUP($A5,'Raw Data'!$G:$G,'Raw Data'!$AC:$AC),"")</f>
        <v>6.04</v>
      </c>
      <c r="J5" s="104"/>
      <c r="K5" s="104">
        <f>IFERROR(_xlfn.XLOOKUP($A5,'Raw Data'!$G:$G,'Raw Data'!AD:AD),"")</f>
        <v>0</v>
      </c>
      <c r="L5" s="104">
        <f>IFERROR(_xlfn.XLOOKUP($A5,'Raw Data'!$G:$G,'Raw Data'!AE:AE),"")</f>
        <v>45.06</v>
      </c>
      <c r="M5" s="104">
        <f>IFERROR(_xlfn.XLOOKUP($A5,'Raw Data'!$G:$G,'Raw Data'!AF:AF),"")</f>
        <v>0</v>
      </c>
      <c r="N5" s="104">
        <f>IFERROR(_xlfn.XLOOKUP($A5,'Raw Data'!$G:$G,'Raw Data'!AG:AG),"")</f>
        <v>0</v>
      </c>
      <c r="O5" s="105">
        <f>IFERROR(1-SUMIF('Plant BD'!$B:$B,$A5,'Plant BD'!$AM:$AM)/($AA5+SUMIF('Plant BD'!$B:$B,$A5,'Plant BD'!$AM:$AM)),"")</f>
        <v>0.78522641333761389</v>
      </c>
      <c r="P5" s="105"/>
      <c r="Q5" s="106"/>
      <c r="R5" s="105">
        <f>IFERROR(1-SUMIF('Grid BD'!$B:$B,$A5,'Grid BD'!$AE:$AE)/($AA5+SUMIF('Grid BD'!$B:$B,$A5,'Grid BD'!$AE:$AE)),"")</f>
        <v>1</v>
      </c>
      <c r="T5" s="106"/>
      <c r="U5" s="107">
        <f t="shared" si="1"/>
        <v>0.56867163013436506</v>
      </c>
      <c r="V5" s="107"/>
      <c r="W5" s="108">
        <f t="shared" si="2"/>
        <v>0.14311569358381518</v>
      </c>
      <c r="X5" s="101">
        <f>IFERROR(_xlfn.XLOOKUP($A5,'Raw Data'!$G:$G,'Raw Data'!AI:AI),"")</f>
        <v>27882.6</v>
      </c>
      <c r="Y5" s="101">
        <f>IFERROR(_xlfn.XLOOKUP($A5,'Raw Data'!$G:$G,'Raw Data'!AJ:AJ),"")</f>
        <v>27649.999999994179</v>
      </c>
      <c r="Z5" s="101">
        <f>IFERROR(_xlfn.XLOOKUP($A5,'Raw Data'!$G:$G,'Raw Data'!AK:AK),"")</f>
        <v>100.00000000002274</v>
      </c>
      <c r="AA5" s="101">
        <f>IFERROR(_xlfn.XLOOKUP($A5,'Raw Data'!$G:$G,'Raw Data'!$AL:$AL)*(1+(_xlfn.XLOOKUP(Table13[[#This Row],[Month Year]],JMR!$A:$A,JMR!$J:$J))),"")</f>
        <v>27549.999999994157</v>
      </c>
      <c r="AB5" s="101">
        <f>IFERROR(_xlfn.XLOOKUP($A5,'Raw Data'!$G:$G,'Raw Data'!H:H),"")</f>
        <v>8.0208999999999993</v>
      </c>
      <c r="AC5" s="67">
        <f>IFERROR(_xlfn.XLOOKUP($D5,'Modelling New'!$D:$D,'Modelling New'!P:P),"")</f>
        <v>6.39</v>
      </c>
      <c r="AD5" s="101">
        <f>IFERROR(_xlfn.XLOOKUP($D5,'Modelling New'!$D:$D,'Modelling New'!$T:$T)*1000,"")</f>
        <v>34610.228394529106</v>
      </c>
      <c r="AE5" s="109">
        <f>IFERROR(_xlfn.XLOOKUP($D5,'Modelling New'!$D:$D,'Modelling New'!O:O),"")</f>
        <v>0.67527474134483101</v>
      </c>
      <c r="AF5" s="108">
        <f>IFERROR(_xlfn.XLOOKUP($D5,'Modelling New'!$D:$D,'Modelling New'!W:W),"")</f>
        <v>0.17979189988306124</v>
      </c>
      <c r="AG5" s="108">
        <f>IFERROR(_xlfn.XLOOKUP($D5,'Modelling New'!$D:$D,'Modelling New'!AE:AE),"")</f>
        <v>0.98040000000000005</v>
      </c>
      <c r="AH5" s="128">
        <f>IFERROR(_xlfn.XLOOKUP($D5,'Modelling New'!$D:$D,'Modelling New'!AF:AF),"")</f>
        <v>0.98</v>
      </c>
      <c r="AN5" s="105"/>
      <c r="AO5" s="108"/>
      <c r="AP5" s="108"/>
      <c r="AQ5" s="108"/>
      <c r="AR5" s="101">
        <f>'Basic Data'!$B$98/1000</f>
        <v>8.0208999999999993</v>
      </c>
      <c r="AT5" s="7">
        <f>IFERROR(_xlfn.XLOOKUP(Table13[[#This Row],[Date]],'Raw Data'!$G:$G,'Raw Data'!$AN:$AN),"")</f>
        <v>0</v>
      </c>
      <c r="AU5" s="7">
        <f>IFERROR(_xlfn.XLOOKUP(Table13[[#This Row],[Month Year]],'Modelling New'!$D:$D,'Modelling New'!$AO:$AO),"")</f>
        <v>8</v>
      </c>
      <c r="AV5" s="7">
        <f>SUMIF('Curtailment Records'!$C:$C,Table13[[#This Row],[Date]],'Curtailment Records'!$R:$R)/1000</f>
        <v>0</v>
      </c>
    </row>
    <row r="6" spans="1:48" x14ac:dyDescent="0.3">
      <c r="A6" s="100">
        <f t="shared" si="3"/>
        <v>45749</v>
      </c>
      <c r="B6" s="101">
        <f>YEAR(Table13[[#This Row],[Date]])+IF(MONTH(Table13[[#This Row],[Date]])&gt;=4,1,0)</f>
        <v>2026</v>
      </c>
      <c r="C6" s="7">
        <f>YEAR(Table13[[#This Row],[Date]])</f>
        <v>2025</v>
      </c>
      <c r="D6" s="102">
        <f>Table13[[#This Row],[Date]]-DAY(Table13[[#This Row],[Date]])+1</f>
        <v>45748</v>
      </c>
      <c r="E6" s="7">
        <f t="shared" si="0"/>
        <v>30</v>
      </c>
      <c r="F6" s="103">
        <f>IFERROR(_xlfn.XLOOKUP($A6,'Raw Data'!$G:$G,'Raw Data'!$AM:$AM),"")</f>
        <v>12.233333333333333</v>
      </c>
      <c r="G6" s="104">
        <f>IFERROR(_xlfn.XLOOKUP($A6,'Raw Data'!$G:$G,'Raw Data'!$AB:$AB),"")</f>
        <v>0</v>
      </c>
      <c r="H6" s="104"/>
      <c r="I6" s="104">
        <f>IFERROR(_xlfn.XLOOKUP($A6,'Raw Data'!$G:$G,'Raw Data'!$AC:$AC),"")</f>
        <v>6.71</v>
      </c>
      <c r="J6" s="104"/>
      <c r="K6" s="104">
        <f>IFERROR(_xlfn.XLOOKUP($A6,'Raw Data'!$G:$G,'Raw Data'!AD:AD),"")</f>
        <v>0</v>
      </c>
      <c r="L6" s="104">
        <f>IFERROR(_xlfn.XLOOKUP($A6,'Raw Data'!$G:$G,'Raw Data'!AE:AE),"")</f>
        <v>44.65</v>
      </c>
      <c r="M6" s="104">
        <f>IFERROR(_xlfn.XLOOKUP($A6,'Raw Data'!$G:$G,'Raw Data'!AF:AF),"")</f>
        <v>0</v>
      </c>
      <c r="N6" s="104">
        <f>IFERROR(_xlfn.XLOOKUP($A6,'Raw Data'!$G:$G,'Raw Data'!AG:AG),"")</f>
        <v>0</v>
      </c>
      <c r="O6" s="105">
        <f>IFERROR(1-SUMIF('Plant BD'!$B:$B,$A6,'Plant BD'!$AM:$AM)/($AA6+SUMIF('Plant BD'!$B:$B,$A6,'Plant BD'!$AM:$AM)),"")</f>
        <v>0.73585264965121833</v>
      </c>
      <c r="P6" s="105"/>
      <c r="Q6" s="106"/>
      <c r="R6" s="105">
        <f>IFERROR(1-SUMIF('Grid BD'!$B:$B,$A6,'Grid BD'!$AE:$AE)/($AA6+SUMIF('Grid BD'!$B:$B,$A6,'Grid BD'!$AE:$AE)),"")</f>
        <v>0.97785491361379173</v>
      </c>
      <c r="T6" s="106"/>
      <c r="U6" s="107">
        <f t="shared" si="1"/>
        <v>0.53325664347203938</v>
      </c>
      <c r="V6" s="107"/>
      <c r="W6" s="108">
        <f t="shared" si="2"/>
        <v>0.14908966990405764</v>
      </c>
      <c r="X6" s="101">
        <f>IFERROR(_xlfn.XLOOKUP($A6,'Raw Data'!$G:$G,'Raw Data'!AI:AI),"")</f>
        <v>29060.9</v>
      </c>
      <c r="Y6" s="101">
        <f>IFERROR(_xlfn.XLOOKUP($A6,'Raw Data'!$G:$G,'Raw Data'!AJ:AJ),"")</f>
        <v>28800.00000000291</v>
      </c>
      <c r="Z6" s="101">
        <f>IFERROR(_xlfn.XLOOKUP($A6,'Raw Data'!$G:$G,'Raw Data'!AK:AK),"")</f>
        <v>99.999999999965894</v>
      </c>
      <c r="AA6" s="101">
        <f>IFERROR(_xlfn.XLOOKUP($A6,'Raw Data'!$G:$G,'Raw Data'!$AL:$AL)*(1+(_xlfn.XLOOKUP(Table13[[#This Row],[Month Year]],JMR!$A:$A,JMR!$J:$J))),"")</f>
        <v>28700.000000002943</v>
      </c>
      <c r="AB6" s="101">
        <f>IFERROR(_xlfn.XLOOKUP($A6,'Raw Data'!$G:$G,'Raw Data'!H:H),"")</f>
        <v>8.0208999999999993</v>
      </c>
      <c r="AC6" s="67">
        <f>IFERROR(_xlfn.XLOOKUP($D6,'Modelling New'!$D:$D,'Modelling New'!P:P),"")</f>
        <v>6.39</v>
      </c>
      <c r="AD6" s="101">
        <f>IFERROR(_xlfn.XLOOKUP($D6,'Modelling New'!$D:$D,'Modelling New'!$T:$T)*1000,"")</f>
        <v>34610.228394529106</v>
      </c>
      <c r="AE6" s="109">
        <f>IFERROR(_xlfn.XLOOKUP($D6,'Modelling New'!$D:$D,'Modelling New'!O:O),"")</f>
        <v>0.67527474134483101</v>
      </c>
      <c r="AF6" s="108">
        <f>IFERROR(_xlfn.XLOOKUP($D6,'Modelling New'!$D:$D,'Modelling New'!W:W),"")</f>
        <v>0.17979189988306124</v>
      </c>
      <c r="AG6" s="108">
        <f>IFERROR(_xlfn.XLOOKUP($D6,'Modelling New'!$D:$D,'Modelling New'!AE:AE),"")</f>
        <v>0.98040000000000005</v>
      </c>
      <c r="AH6" s="128">
        <f>IFERROR(_xlfn.XLOOKUP($D6,'Modelling New'!$D:$D,'Modelling New'!AF:AF),"")</f>
        <v>0.98</v>
      </c>
      <c r="AN6" s="105"/>
      <c r="AO6" s="108"/>
      <c r="AP6" s="108"/>
      <c r="AQ6" s="108"/>
      <c r="AR6" s="101">
        <f>'Basic Data'!$B$98/1000</f>
        <v>8.0208999999999993</v>
      </c>
      <c r="AT6" s="7">
        <f>IFERROR(_xlfn.XLOOKUP(Table13[[#This Row],[Date]],'Raw Data'!$G:$G,'Raw Data'!$AN:$AN),"")</f>
        <v>0</v>
      </c>
      <c r="AU6" s="7">
        <f>IFERROR(_xlfn.XLOOKUP(Table13[[#This Row],[Month Year]],'Modelling New'!$D:$D,'Modelling New'!$AO:$AO),"")</f>
        <v>8</v>
      </c>
      <c r="AV6" s="7">
        <f>SUMIF('Curtailment Records'!$C:$C,Table13[[#This Row],[Date]],'Curtailment Records'!$R:$R)/1000</f>
        <v>0</v>
      </c>
    </row>
    <row r="7" spans="1:48" x14ac:dyDescent="0.3">
      <c r="A7" s="100">
        <f t="shared" si="3"/>
        <v>45750</v>
      </c>
      <c r="B7" s="101">
        <f>YEAR(Table13[[#This Row],[Date]])+IF(MONTH(Table13[[#This Row],[Date]])&gt;=4,1,0)</f>
        <v>2026</v>
      </c>
      <c r="C7" s="7">
        <f>YEAR(Table13[[#This Row],[Date]])</f>
        <v>2025</v>
      </c>
      <c r="D7" s="102">
        <f>Table13[[#This Row],[Date]]-DAY(Table13[[#This Row],[Date]])+1</f>
        <v>45748</v>
      </c>
      <c r="E7" s="7">
        <f t="shared" si="0"/>
        <v>30</v>
      </c>
      <c r="F7" s="103">
        <f>IFERROR(_xlfn.XLOOKUP($A7,'Raw Data'!$G:$G,'Raw Data'!$AM:$AM),"")</f>
        <v>11.450000000000001</v>
      </c>
      <c r="G7" s="104">
        <f>IFERROR(_xlfn.XLOOKUP($A7,'Raw Data'!$G:$G,'Raw Data'!$AB:$AB),"")</f>
        <v>0</v>
      </c>
      <c r="H7" s="104"/>
      <c r="I7" s="104">
        <f>IFERROR(_xlfn.XLOOKUP($A7,'Raw Data'!$G:$G,'Raw Data'!$AC:$AC),"")</f>
        <v>3.79</v>
      </c>
      <c r="J7" s="104"/>
      <c r="K7" s="104">
        <f>IFERROR(_xlfn.XLOOKUP($A7,'Raw Data'!$G:$G,'Raw Data'!AD:AD),"")</f>
        <v>0</v>
      </c>
      <c r="L7" s="104">
        <f>IFERROR(_xlfn.XLOOKUP($A7,'Raw Data'!$G:$G,'Raw Data'!AE:AE),"")</f>
        <v>36.42</v>
      </c>
      <c r="M7" s="104">
        <f>IFERROR(_xlfn.XLOOKUP($A7,'Raw Data'!$G:$G,'Raw Data'!AF:AF),"")</f>
        <v>0</v>
      </c>
      <c r="N7" s="104">
        <f>IFERROR(_xlfn.XLOOKUP($A7,'Raw Data'!$G:$G,'Raw Data'!AG:AG),"")</f>
        <v>0</v>
      </c>
      <c r="O7" s="105">
        <f>IFERROR(1-SUMIF('Plant BD'!$B:$B,$A7,'Plant BD'!$AM:$AM)/($AA7+SUMIF('Plant BD'!$B:$B,$A7,'Plant BD'!$AM:$AM)),"")</f>
        <v>0.79568966712476441</v>
      </c>
      <c r="P7" s="105"/>
      <c r="Q7" s="106"/>
      <c r="R7" s="105">
        <f>IFERROR(1-SUMIF('Grid BD'!$B:$B,$A7,'Grid BD'!$AE:$AE)/($AA7+SUMIF('Grid BD'!$B:$B,$A7,'Grid BD'!$AE:$AE)),"")</f>
        <v>0.8071668231027006</v>
      </c>
      <c r="T7" s="106"/>
      <c r="U7" s="107">
        <f t="shared" si="1"/>
        <v>0.48849952059601376</v>
      </c>
      <c r="V7" s="107"/>
      <c r="W7" s="108">
        <f t="shared" si="2"/>
        <v>7.7142215960787172E-2</v>
      </c>
      <c r="X7" s="101">
        <f>IFERROR(_xlfn.XLOOKUP($A7,'Raw Data'!$G:$G,'Raw Data'!AI:AI),"")</f>
        <v>15103.300000000001</v>
      </c>
      <c r="Y7" s="101">
        <f>IFERROR(_xlfn.XLOOKUP($A7,'Raw Data'!$G:$G,'Raw Data'!AJ:AJ),"")</f>
        <v>14949.99999999709</v>
      </c>
      <c r="Z7" s="101">
        <f>IFERROR(_xlfn.XLOOKUP($A7,'Raw Data'!$G:$G,'Raw Data'!AK:AK),"")</f>
        <v>100.00000000002274</v>
      </c>
      <c r="AA7" s="101">
        <f>IFERROR(_xlfn.XLOOKUP($A7,'Raw Data'!$G:$G,'Raw Data'!$AL:$AL)*(1+(_xlfn.XLOOKUP(Table13[[#This Row],[Month Year]],JMR!$A:$A,JMR!$J:$J))),"")</f>
        <v>14849.999999997068</v>
      </c>
      <c r="AB7" s="101">
        <f>IFERROR(_xlfn.XLOOKUP($A7,'Raw Data'!$G:$G,'Raw Data'!H:H),"")</f>
        <v>8.0208999999999993</v>
      </c>
      <c r="AC7" s="67">
        <f>IFERROR(_xlfn.XLOOKUP($D7,'Modelling New'!$D:$D,'Modelling New'!P:P),"")</f>
        <v>6.39</v>
      </c>
      <c r="AD7" s="101">
        <f>IFERROR(_xlfn.XLOOKUP($D7,'Modelling New'!$D:$D,'Modelling New'!$T:$T)*1000,"")</f>
        <v>34610.228394529106</v>
      </c>
      <c r="AE7" s="109">
        <f>IFERROR(_xlfn.XLOOKUP($D7,'Modelling New'!$D:$D,'Modelling New'!O:O),"")</f>
        <v>0.67527474134483101</v>
      </c>
      <c r="AF7" s="108">
        <f>IFERROR(_xlfn.XLOOKUP($D7,'Modelling New'!$D:$D,'Modelling New'!W:W),"")</f>
        <v>0.17979189988306124</v>
      </c>
      <c r="AG7" s="108">
        <f>IFERROR(_xlfn.XLOOKUP($D7,'Modelling New'!$D:$D,'Modelling New'!AE:AE),"")</f>
        <v>0.98040000000000005</v>
      </c>
      <c r="AH7" s="128">
        <f>IFERROR(_xlfn.XLOOKUP($D7,'Modelling New'!$D:$D,'Modelling New'!AF:AF),"")</f>
        <v>0.98</v>
      </c>
      <c r="AN7" s="105"/>
      <c r="AO7" s="108"/>
      <c r="AP7" s="108"/>
      <c r="AQ7" s="108"/>
      <c r="AR7" s="101">
        <f>'Basic Data'!$B$98/1000</f>
        <v>8.0208999999999993</v>
      </c>
      <c r="AT7" s="7">
        <f>IFERROR(_xlfn.XLOOKUP(Table13[[#This Row],[Date]],'Raw Data'!$G:$G,'Raw Data'!$AN:$AN),"")</f>
        <v>0</v>
      </c>
      <c r="AU7" s="7">
        <f>IFERROR(_xlfn.XLOOKUP(Table13[[#This Row],[Month Year]],'Modelling New'!$D:$D,'Modelling New'!$AO:$AO),"")</f>
        <v>8</v>
      </c>
      <c r="AV7" s="7">
        <f>SUMIF('Curtailment Records'!$C:$C,Table13[[#This Row],[Date]],'Curtailment Records'!$R:$R)/1000</f>
        <v>0</v>
      </c>
    </row>
    <row r="8" spans="1:48" x14ac:dyDescent="0.3">
      <c r="A8" s="100">
        <f t="shared" si="3"/>
        <v>45751</v>
      </c>
      <c r="B8" s="101">
        <f>YEAR(Table13[[#This Row],[Date]])+IF(MONTH(Table13[[#This Row],[Date]])&gt;=4,1,0)</f>
        <v>2026</v>
      </c>
      <c r="C8" s="7">
        <f>YEAR(Table13[[#This Row],[Date]])</f>
        <v>2025</v>
      </c>
      <c r="D8" s="102">
        <f>Table13[[#This Row],[Date]]-DAY(Table13[[#This Row],[Date]])+1</f>
        <v>45748</v>
      </c>
      <c r="E8" s="7">
        <f t="shared" si="0"/>
        <v>30</v>
      </c>
      <c r="F8" s="103">
        <f>IFERROR(_xlfn.XLOOKUP($A8,'Raw Data'!$G:$G,'Raw Data'!$AM:$AM),"")</f>
        <v>12.350000000000001</v>
      </c>
      <c r="G8" s="104">
        <f>IFERROR(_xlfn.XLOOKUP($A8,'Raw Data'!$G:$G,'Raw Data'!$AB:$AB),"")</f>
        <v>0</v>
      </c>
      <c r="H8" s="104"/>
      <c r="I8" s="104">
        <f>IFERROR(_xlfn.XLOOKUP($A8,'Raw Data'!$G:$G,'Raw Data'!$AC:$AC),"")</f>
        <v>6.83</v>
      </c>
      <c r="J8" s="104"/>
      <c r="K8" s="104">
        <f>IFERROR(_xlfn.XLOOKUP($A8,'Raw Data'!$G:$G,'Raw Data'!AD:AD),"")</f>
        <v>0</v>
      </c>
      <c r="L8" s="104">
        <f>IFERROR(_xlfn.XLOOKUP($A8,'Raw Data'!$G:$G,'Raw Data'!AE:AE),"")</f>
        <v>44.06</v>
      </c>
      <c r="M8" s="104">
        <f>IFERROR(_xlfn.XLOOKUP($A8,'Raw Data'!$G:$G,'Raw Data'!AF:AF),"")</f>
        <v>0</v>
      </c>
      <c r="N8" s="104">
        <f>IFERROR(_xlfn.XLOOKUP($A8,'Raw Data'!$G:$G,'Raw Data'!AG:AG),"")</f>
        <v>0</v>
      </c>
      <c r="O8" s="105">
        <f>IFERROR(1-SUMIF('Plant BD'!$B:$B,$A8,'Plant BD'!$AM:$AM)/($AA8+SUMIF('Plant BD'!$B:$B,$A8,'Plant BD'!$AM:$AM)),"")</f>
        <v>0.75012404818986345</v>
      </c>
      <c r="P8" s="105"/>
      <c r="Q8" s="106"/>
      <c r="R8" s="105">
        <f>IFERROR(1-SUMIF('Grid BD'!$B:$B,$A8,'Grid BD'!$AE:$AE)/($AA8+SUMIF('Grid BD'!$B:$B,$A8,'Grid BD'!$AE:$AE)),"")</f>
        <v>1</v>
      </c>
      <c r="T8" s="106"/>
      <c r="U8" s="107">
        <f t="shared" si="1"/>
        <v>0.58321281333341946</v>
      </c>
      <c r="V8" s="107"/>
      <c r="W8" s="108">
        <f t="shared" si="2"/>
        <v>0.1659726464611356</v>
      </c>
      <c r="X8" s="101">
        <f>IFERROR(_xlfn.XLOOKUP($A8,'Raw Data'!$G:$G,'Raw Data'!AI:AI),"")</f>
        <v>32349.9</v>
      </c>
      <c r="Y8" s="101">
        <f>IFERROR(_xlfn.XLOOKUP($A8,'Raw Data'!$G:$G,'Raw Data'!AJ:AJ),"")</f>
        <v>32050.00000000291</v>
      </c>
      <c r="Z8" s="101">
        <f>IFERROR(_xlfn.XLOOKUP($A8,'Raw Data'!$G:$G,'Raw Data'!AK:AK),"")</f>
        <v>99.999999999965894</v>
      </c>
      <c r="AA8" s="101">
        <f>IFERROR(_xlfn.XLOOKUP($A8,'Raw Data'!$G:$G,'Raw Data'!$AL:$AL)*(1+(_xlfn.XLOOKUP(Table13[[#This Row],[Month Year]],JMR!$A:$A,JMR!$J:$J))),"")</f>
        <v>31950.000000002943</v>
      </c>
      <c r="AB8" s="101">
        <f>IFERROR(_xlfn.XLOOKUP($A8,'Raw Data'!$G:$G,'Raw Data'!H:H),"")</f>
        <v>8.0208999999999993</v>
      </c>
      <c r="AC8" s="67">
        <f>IFERROR(_xlfn.XLOOKUP($D8,'Modelling New'!$D:$D,'Modelling New'!P:P),"")</f>
        <v>6.39</v>
      </c>
      <c r="AD8" s="101">
        <f>IFERROR(_xlfn.XLOOKUP($D8,'Modelling New'!$D:$D,'Modelling New'!$T:$T)*1000,"")</f>
        <v>34610.228394529106</v>
      </c>
      <c r="AE8" s="109">
        <f>IFERROR(_xlfn.XLOOKUP($D8,'Modelling New'!$D:$D,'Modelling New'!O:O),"")</f>
        <v>0.67527474134483101</v>
      </c>
      <c r="AF8" s="108">
        <f>IFERROR(_xlfn.XLOOKUP($D8,'Modelling New'!$D:$D,'Modelling New'!W:W),"")</f>
        <v>0.17979189988306124</v>
      </c>
      <c r="AG8" s="108">
        <f>IFERROR(_xlfn.XLOOKUP($D8,'Modelling New'!$D:$D,'Modelling New'!AE:AE),"")</f>
        <v>0.98040000000000005</v>
      </c>
      <c r="AH8" s="128">
        <f>IFERROR(_xlfn.XLOOKUP($D8,'Modelling New'!$D:$D,'Modelling New'!AF:AF),"")</f>
        <v>0.98</v>
      </c>
      <c r="AN8" s="105"/>
      <c r="AO8" s="108"/>
      <c r="AP8" s="108"/>
      <c r="AQ8" s="108"/>
      <c r="AR8" s="101">
        <f>'Basic Data'!$B$98/1000</f>
        <v>8.0208999999999993</v>
      </c>
      <c r="AT8" s="7">
        <f>IFERROR(_xlfn.XLOOKUP(Table13[[#This Row],[Date]],'Raw Data'!$G:$G,'Raw Data'!$AN:$AN),"")</f>
        <v>0</v>
      </c>
      <c r="AU8" s="7">
        <f>IFERROR(_xlfn.XLOOKUP(Table13[[#This Row],[Month Year]],'Modelling New'!$D:$D,'Modelling New'!$AO:$AO),"")</f>
        <v>8</v>
      </c>
      <c r="AV8" s="7">
        <f>SUMIF('Curtailment Records'!$C:$C,Table13[[#This Row],[Date]],'Curtailment Records'!$R:$R)/1000</f>
        <v>0</v>
      </c>
    </row>
    <row r="9" spans="1:48" x14ac:dyDescent="0.3">
      <c r="A9" s="100">
        <f t="shared" si="3"/>
        <v>45752</v>
      </c>
      <c r="B9" s="101">
        <f>YEAR(Table13[[#This Row],[Date]])+IF(MONTH(Table13[[#This Row],[Date]])&gt;=4,1,0)</f>
        <v>2026</v>
      </c>
      <c r="C9" s="7">
        <f>YEAR(Table13[[#This Row],[Date]])</f>
        <v>2025</v>
      </c>
      <c r="D9" s="102">
        <f>Table13[[#This Row],[Date]]-DAY(Table13[[#This Row],[Date]])+1</f>
        <v>45748</v>
      </c>
      <c r="E9" s="7">
        <f t="shared" si="0"/>
        <v>30</v>
      </c>
      <c r="F9" s="103">
        <f>IFERROR(_xlfn.XLOOKUP($A9,'Raw Data'!$G:$G,'Raw Data'!$AM:$AM),"")</f>
        <v>12.250000000000002</v>
      </c>
      <c r="G9" s="104">
        <f>IFERROR(_xlfn.XLOOKUP($A9,'Raw Data'!$G:$G,'Raw Data'!$AB:$AB),"")</f>
        <v>0</v>
      </c>
      <c r="H9" s="104"/>
      <c r="I9" s="104">
        <f>IFERROR(_xlfn.XLOOKUP($A9,'Raw Data'!$G:$G,'Raw Data'!$AC:$AC),"")</f>
        <v>6.96</v>
      </c>
      <c r="J9" s="104"/>
      <c r="K9" s="104">
        <f>IFERROR(_xlfn.XLOOKUP($A9,'Raw Data'!$G:$G,'Raw Data'!AD:AD),"")</f>
        <v>0</v>
      </c>
      <c r="L9" s="104">
        <f>IFERROR(_xlfn.XLOOKUP($A9,'Raw Data'!$G:$G,'Raw Data'!AE:AE),"")</f>
        <v>46.18</v>
      </c>
      <c r="M9" s="104">
        <f>IFERROR(_xlfn.XLOOKUP($A9,'Raw Data'!$G:$G,'Raw Data'!AF:AF),"")</f>
        <v>0</v>
      </c>
      <c r="N9" s="104">
        <f>IFERROR(_xlfn.XLOOKUP($A9,'Raw Data'!$G:$G,'Raw Data'!AG:AG),"")</f>
        <v>0</v>
      </c>
      <c r="O9" s="105">
        <f>IFERROR(1-SUMIF('Plant BD'!$B:$B,$A9,'Plant BD'!$AM:$AM)/($AA9+SUMIF('Plant BD'!$B:$B,$A9,'Plant BD'!$AM:$AM)),"")</f>
        <v>0.71496074669431287</v>
      </c>
      <c r="P9" s="105"/>
      <c r="Q9" s="106"/>
      <c r="R9" s="105">
        <f>IFERROR(1-SUMIF('Grid BD'!$B:$B,$A9,'Grid BD'!$AE:$AE)/($AA9+SUMIF('Grid BD'!$B:$B,$A9,'Grid BD'!$AE:$AE)),"")</f>
        <v>1</v>
      </c>
      <c r="T9" s="106"/>
      <c r="U9" s="107">
        <f t="shared" si="1"/>
        <v>0.56425863294223222</v>
      </c>
      <c r="V9" s="107"/>
      <c r="W9" s="108">
        <f t="shared" si="2"/>
        <v>0.16363500355324734</v>
      </c>
      <c r="X9" s="101">
        <f>IFERROR(_xlfn.XLOOKUP($A9,'Raw Data'!$G:$G,'Raw Data'!AI:AI),"")</f>
        <v>31819</v>
      </c>
      <c r="Y9" s="101">
        <f>IFERROR(_xlfn.XLOOKUP($A9,'Raw Data'!$G:$G,'Raw Data'!AJ:AJ),"")</f>
        <v>31600.000000005821</v>
      </c>
      <c r="Z9" s="101">
        <f>IFERROR(_xlfn.XLOOKUP($A9,'Raw Data'!$G:$G,'Raw Data'!AK:AK),"")</f>
        <v>100.00000000002274</v>
      </c>
      <c r="AA9" s="101">
        <f>IFERROR(_xlfn.XLOOKUP($A9,'Raw Data'!$G:$G,'Raw Data'!$AL:$AL)*(1+(_xlfn.XLOOKUP(Table13[[#This Row],[Month Year]],JMR!$A:$A,JMR!$J:$J))),"")</f>
        <v>31500.000000005799</v>
      </c>
      <c r="AB9" s="101">
        <f>IFERROR(_xlfn.XLOOKUP($A9,'Raw Data'!$G:$G,'Raw Data'!H:H),"")</f>
        <v>8.0208999999999993</v>
      </c>
      <c r="AC9" s="67">
        <f>IFERROR(_xlfn.XLOOKUP($D9,'Modelling New'!$D:$D,'Modelling New'!P:P),"")</f>
        <v>6.39</v>
      </c>
      <c r="AD9" s="101">
        <f>IFERROR(_xlfn.XLOOKUP($D9,'Modelling New'!$D:$D,'Modelling New'!$T:$T)*1000,"")</f>
        <v>34610.228394529106</v>
      </c>
      <c r="AE9" s="109">
        <f>IFERROR(_xlfn.XLOOKUP($D9,'Modelling New'!$D:$D,'Modelling New'!O:O),"")</f>
        <v>0.67527474134483101</v>
      </c>
      <c r="AF9" s="108">
        <f>IFERROR(_xlfn.XLOOKUP($D9,'Modelling New'!$D:$D,'Modelling New'!W:W),"")</f>
        <v>0.17979189988306124</v>
      </c>
      <c r="AG9" s="108">
        <f>IFERROR(_xlfn.XLOOKUP($D9,'Modelling New'!$D:$D,'Modelling New'!AE:AE),"")</f>
        <v>0.98040000000000005</v>
      </c>
      <c r="AH9" s="128">
        <f>IFERROR(_xlfn.XLOOKUP($D9,'Modelling New'!$D:$D,'Modelling New'!AF:AF),"")</f>
        <v>0.98</v>
      </c>
      <c r="AN9" s="105"/>
      <c r="AO9" s="108"/>
      <c r="AP9" s="108"/>
      <c r="AQ9" s="108"/>
      <c r="AR9" s="101">
        <f>'Basic Data'!$B$98/1000</f>
        <v>8.0208999999999993</v>
      </c>
      <c r="AT9" s="7">
        <f>IFERROR(_xlfn.XLOOKUP(Table13[[#This Row],[Date]],'Raw Data'!$G:$G,'Raw Data'!$AN:$AN),"")</f>
        <v>0</v>
      </c>
      <c r="AU9" s="7">
        <f>IFERROR(_xlfn.XLOOKUP(Table13[[#This Row],[Month Year]],'Modelling New'!$D:$D,'Modelling New'!$AO:$AO),"")</f>
        <v>8</v>
      </c>
      <c r="AV9" s="7">
        <f>SUMIF('Curtailment Records'!$C:$C,Table13[[#This Row],[Date]],'Curtailment Records'!$R:$R)/1000</f>
        <v>0</v>
      </c>
    </row>
    <row r="10" spans="1:48" x14ac:dyDescent="0.3">
      <c r="A10" s="100">
        <f t="shared" si="3"/>
        <v>45753</v>
      </c>
      <c r="B10" s="101">
        <f>YEAR(Table13[[#This Row],[Date]])+IF(MONTH(Table13[[#This Row],[Date]])&gt;=4,1,0)</f>
        <v>2026</v>
      </c>
      <c r="C10" s="7">
        <f>YEAR(Table13[[#This Row],[Date]])</f>
        <v>2025</v>
      </c>
      <c r="D10" s="102">
        <f>Table13[[#This Row],[Date]]-DAY(Table13[[#This Row],[Date]])+1</f>
        <v>45748</v>
      </c>
      <c r="E10" s="7">
        <f t="shared" si="0"/>
        <v>30</v>
      </c>
      <c r="F10" s="103">
        <f>IFERROR(_xlfn.XLOOKUP($A10,'Raw Data'!$G:$G,'Raw Data'!$AM:$AM),"")</f>
        <v>12.2</v>
      </c>
      <c r="G10" s="104">
        <f>IFERROR(_xlfn.XLOOKUP($A10,'Raw Data'!$G:$G,'Raw Data'!$AB:$AB),"")</f>
        <v>0</v>
      </c>
      <c r="H10" s="104"/>
      <c r="I10" s="104">
        <f>IFERROR(_xlfn.XLOOKUP($A10,'Raw Data'!$G:$G,'Raw Data'!$AC:$AC),"")</f>
        <v>6.77</v>
      </c>
      <c r="J10" s="104"/>
      <c r="K10" s="104">
        <f>IFERROR(_xlfn.XLOOKUP($A10,'Raw Data'!$G:$G,'Raw Data'!AD:AD),"")</f>
        <v>0</v>
      </c>
      <c r="L10" s="104">
        <f>IFERROR(_xlfn.XLOOKUP($A10,'Raw Data'!$G:$G,'Raw Data'!AE:AE),"")</f>
        <v>45.22</v>
      </c>
      <c r="M10" s="104">
        <f>IFERROR(_xlfn.XLOOKUP($A10,'Raw Data'!$G:$G,'Raw Data'!AF:AF),"")</f>
        <v>0</v>
      </c>
      <c r="N10" s="104">
        <f>IFERROR(_xlfn.XLOOKUP($A10,'Raw Data'!$G:$G,'Raw Data'!AG:AG),"")</f>
        <v>0</v>
      </c>
      <c r="O10" s="105">
        <f>IFERROR(1-SUMIF('Plant BD'!$B:$B,$A10,'Plant BD'!$AM:$AM)/($AA10+SUMIF('Plant BD'!$B:$B,$A10,'Plant BD'!$AM:$AM)),"")</f>
        <v>0.77508534895068304</v>
      </c>
      <c r="P10" s="105"/>
      <c r="Q10" s="106"/>
      <c r="R10" s="105">
        <f>IFERROR(1-SUMIF('Grid BD'!$B:$B,$A10,'Grid BD'!$AE:$AE)/($AA10+SUMIF('Grid BD'!$B:$B,$A10,'Grid BD'!$AE:$AE)),"")</f>
        <v>1</v>
      </c>
      <c r="T10" s="106"/>
      <c r="U10" s="107">
        <f t="shared" si="1"/>
        <v>0.6242922271032213</v>
      </c>
      <c r="V10" s="107"/>
      <c r="W10" s="108">
        <f t="shared" si="2"/>
        <v>0.17610243239536699</v>
      </c>
      <c r="X10" s="101">
        <f>IFERROR(_xlfn.XLOOKUP($A10,'Raw Data'!$G:$G,'Raw Data'!AI:AI),"")</f>
        <v>34264.9</v>
      </c>
      <c r="Y10" s="101">
        <f>IFERROR(_xlfn.XLOOKUP($A10,'Raw Data'!$G:$G,'Raw Data'!AJ:AJ),"")</f>
        <v>34000</v>
      </c>
      <c r="Z10" s="101">
        <f>IFERROR(_xlfn.XLOOKUP($A10,'Raw Data'!$G:$G,'Raw Data'!AK:AK),"")</f>
        <v>100.00000000002274</v>
      </c>
      <c r="AA10" s="101">
        <f>IFERROR(_xlfn.XLOOKUP($A10,'Raw Data'!$G:$G,'Raw Data'!$AL:$AL)*(1+(_xlfn.XLOOKUP(Table13[[#This Row],[Month Year]],JMR!$A:$A,JMR!$J:$J))),"")</f>
        <v>33899.999999999978</v>
      </c>
      <c r="AB10" s="101">
        <f>IFERROR(_xlfn.XLOOKUP($A10,'Raw Data'!$G:$G,'Raw Data'!H:H),"")</f>
        <v>8.0208999999999993</v>
      </c>
      <c r="AC10" s="67">
        <f>IFERROR(_xlfn.XLOOKUP($D10,'Modelling New'!$D:$D,'Modelling New'!P:P),"")</f>
        <v>6.39</v>
      </c>
      <c r="AD10" s="101">
        <f>IFERROR(_xlfn.XLOOKUP($D10,'Modelling New'!$D:$D,'Modelling New'!$T:$T)*1000,"")</f>
        <v>34610.228394529106</v>
      </c>
      <c r="AE10" s="109">
        <f>IFERROR(_xlfn.XLOOKUP($D10,'Modelling New'!$D:$D,'Modelling New'!O:O),"")</f>
        <v>0.67527474134483101</v>
      </c>
      <c r="AF10" s="108">
        <f>IFERROR(_xlfn.XLOOKUP($D10,'Modelling New'!$D:$D,'Modelling New'!W:W),"")</f>
        <v>0.17979189988306124</v>
      </c>
      <c r="AG10" s="108">
        <f>IFERROR(_xlfn.XLOOKUP($D10,'Modelling New'!$D:$D,'Modelling New'!AE:AE),"")</f>
        <v>0.98040000000000005</v>
      </c>
      <c r="AH10" s="128">
        <f>IFERROR(_xlfn.XLOOKUP($D10,'Modelling New'!$D:$D,'Modelling New'!AF:AF),"")</f>
        <v>0.98</v>
      </c>
      <c r="AN10" s="105"/>
      <c r="AO10" s="108"/>
      <c r="AP10" s="108"/>
      <c r="AQ10" s="108"/>
      <c r="AR10" s="101">
        <f>'Basic Data'!$B$98/1000</f>
        <v>8.0208999999999993</v>
      </c>
      <c r="AT10" s="7">
        <f>IFERROR(_xlfn.XLOOKUP(Table13[[#This Row],[Date]],'Raw Data'!$G:$G,'Raw Data'!$AN:$AN),"")</f>
        <v>0</v>
      </c>
      <c r="AU10" s="7">
        <f>IFERROR(_xlfn.XLOOKUP(Table13[[#This Row],[Month Year]],'Modelling New'!$D:$D,'Modelling New'!$AO:$AO),"")</f>
        <v>8</v>
      </c>
      <c r="AV10" s="7">
        <f>SUMIF('Curtailment Records'!$C:$C,Table13[[#This Row],[Date]],'Curtailment Records'!$R:$R)/1000</f>
        <v>0</v>
      </c>
    </row>
    <row r="11" spans="1:48" x14ac:dyDescent="0.3">
      <c r="A11" s="100">
        <f t="shared" si="3"/>
        <v>45754</v>
      </c>
      <c r="B11" s="101">
        <f>YEAR(Table13[[#This Row],[Date]])+IF(MONTH(Table13[[#This Row],[Date]])&gt;=4,1,0)</f>
        <v>2026</v>
      </c>
      <c r="C11" s="7">
        <f>YEAR(Table13[[#This Row],[Date]])</f>
        <v>2025</v>
      </c>
      <c r="D11" s="102">
        <f>Table13[[#This Row],[Date]]-DAY(Table13[[#This Row],[Date]])+1</f>
        <v>45748</v>
      </c>
      <c r="E11" s="7">
        <f t="shared" si="0"/>
        <v>30</v>
      </c>
      <c r="F11" s="103">
        <f>IFERROR(_xlfn.XLOOKUP($A11,'Raw Data'!$G:$G,'Raw Data'!$AM:$AM),"")</f>
        <v>12.250000000000002</v>
      </c>
      <c r="G11" s="104">
        <f>IFERROR(_xlfn.XLOOKUP($A11,'Raw Data'!$G:$G,'Raw Data'!$AB:$AB),"")</f>
        <v>0</v>
      </c>
      <c r="H11" s="104"/>
      <c r="I11" s="104">
        <f>IFERROR(_xlfn.XLOOKUP($A11,'Raw Data'!$G:$G,'Raw Data'!$AC:$AC),"")</f>
        <v>5.97</v>
      </c>
      <c r="J11" s="104"/>
      <c r="K11" s="104">
        <f>IFERROR(_xlfn.XLOOKUP($A11,'Raw Data'!$G:$G,'Raw Data'!AD:AD),"")</f>
        <v>0</v>
      </c>
      <c r="L11" s="104">
        <f>IFERROR(_xlfn.XLOOKUP($A11,'Raw Data'!$G:$G,'Raw Data'!AE:AE),"")</f>
        <v>45.66</v>
      </c>
      <c r="M11" s="104">
        <f>IFERROR(_xlfn.XLOOKUP($A11,'Raw Data'!$G:$G,'Raw Data'!AF:AF),"")</f>
        <v>0</v>
      </c>
      <c r="N11" s="104">
        <f>IFERROR(_xlfn.XLOOKUP($A11,'Raw Data'!$G:$G,'Raw Data'!AG:AG),"")</f>
        <v>0</v>
      </c>
      <c r="O11" s="105">
        <f>IFERROR(1-SUMIF('Plant BD'!$B:$B,$A11,'Plant BD'!$AM:$AM)/($AA11+SUMIF('Plant BD'!$B:$B,$A11,'Plant BD'!$AM:$AM)),"")</f>
        <v>0.81724170535259277</v>
      </c>
      <c r="P11" s="105"/>
      <c r="Q11" s="106"/>
      <c r="R11" s="105">
        <f>IFERROR(1-SUMIF('Grid BD'!$B:$B,$A11,'Grid BD'!$AE:$AE)/($AA11+SUMIF('Grid BD'!$B:$B,$A11,'Grid BD'!$AE:$AE)),"")</f>
        <v>1</v>
      </c>
      <c r="T11" s="106"/>
      <c r="U11" s="107">
        <f t="shared" si="1"/>
        <v>0.73509798198246445</v>
      </c>
      <c r="V11" s="107"/>
      <c r="W11" s="108">
        <f t="shared" si="2"/>
        <v>0.18285562301813799</v>
      </c>
      <c r="X11" s="101">
        <f>IFERROR(_xlfn.XLOOKUP($A11,'Raw Data'!$G:$G,'Raw Data'!AI:AI),"")</f>
        <v>35585</v>
      </c>
      <c r="Y11" s="101">
        <f>IFERROR(_xlfn.XLOOKUP($A11,'Raw Data'!$G:$G,'Raw Data'!AJ:AJ),"")</f>
        <v>35299.999999988358</v>
      </c>
      <c r="Z11" s="101">
        <f>IFERROR(_xlfn.XLOOKUP($A11,'Raw Data'!$G:$G,'Raw Data'!AK:AK),"")</f>
        <v>99.999999999965894</v>
      </c>
      <c r="AA11" s="101">
        <f>IFERROR(_xlfn.XLOOKUP($A11,'Raw Data'!$G:$G,'Raw Data'!$AL:$AL)*(1+(_xlfn.XLOOKUP(Table13[[#This Row],[Month Year]],JMR!$A:$A,JMR!$J:$J))),"")</f>
        <v>35199.999999988395</v>
      </c>
      <c r="AB11" s="101">
        <f>IFERROR(_xlfn.XLOOKUP($A11,'Raw Data'!$G:$G,'Raw Data'!H:H),"")</f>
        <v>8.0208999999999993</v>
      </c>
      <c r="AC11" s="67">
        <f>IFERROR(_xlfn.XLOOKUP($D11,'Modelling New'!$D:$D,'Modelling New'!P:P),"")</f>
        <v>6.39</v>
      </c>
      <c r="AD11" s="101">
        <f>IFERROR(_xlfn.XLOOKUP($D11,'Modelling New'!$D:$D,'Modelling New'!$T:$T)*1000,"")</f>
        <v>34610.228394529106</v>
      </c>
      <c r="AE11" s="109">
        <f>IFERROR(_xlfn.XLOOKUP($D11,'Modelling New'!$D:$D,'Modelling New'!O:O),"")</f>
        <v>0.67527474134483101</v>
      </c>
      <c r="AF11" s="108">
        <f>IFERROR(_xlfn.XLOOKUP($D11,'Modelling New'!$D:$D,'Modelling New'!W:W),"")</f>
        <v>0.17979189988306124</v>
      </c>
      <c r="AG11" s="108">
        <f>IFERROR(_xlfn.XLOOKUP($D11,'Modelling New'!$D:$D,'Modelling New'!AE:AE),"")</f>
        <v>0.98040000000000005</v>
      </c>
      <c r="AH11" s="128">
        <f>IFERROR(_xlfn.XLOOKUP($D11,'Modelling New'!$D:$D,'Modelling New'!AF:AF),"")</f>
        <v>0.98</v>
      </c>
      <c r="AN11" s="105"/>
      <c r="AO11" s="108"/>
      <c r="AP11" s="108"/>
      <c r="AQ11" s="108"/>
      <c r="AR11" s="101">
        <f>'Basic Data'!$B$98/1000</f>
        <v>8.0208999999999993</v>
      </c>
      <c r="AT11" s="7">
        <f>IFERROR(_xlfn.XLOOKUP(Table13[[#This Row],[Date]],'Raw Data'!$G:$G,'Raw Data'!$AN:$AN),"")</f>
        <v>0</v>
      </c>
      <c r="AU11" s="7">
        <f>IFERROR(_xlfn.XLOOKUP(Table13[[#This Row],[Month Year]],'Modelling New'!$D:$D,'Modelling New'!$AO:$AO),"")</f>
        <v>8</v>
      </c>
      <c r="AV11" s="7">
        <f>SUMIF('Curtailment Records'!$C:$C,Table13[[#This Row],[Date]],'Curtailment Records'!$R:$R)/1000</f>
        <v>0</v>
      </c>
    </row>
    <row r="12" spans="1:48" x14ac:dyDescent="0.3">
      <c r="A12" s="100">
        <f t="shared" si="3"/>
        <v>45755</v>
      </c>
      <c r="B12" s="101">
        <f>YEAR(Table13[[#This Row],[Date]])+IF(MONTH(Table13[[#This Row],[Date]])&gt;=4,1,0)</f>
        <v>2026</v>
      </c>
      <c r="C12" s="7">
        <f>YEAR(Table13[[#This Row],[Date]])</f>
        <v>2025</v>
      </c>
      <c r="D12" s="102">
        <f>Table13[[#This Row],[Date]]-DAY(Table13[[#This Row],[Date]])+1</f>
        <v>45748</v>
      </c>
      <c r="E12" s="7">
        <f t="shared" si="0"/>
        <v>30</v>
      </c>
      <c r="F12" s="103">
        <f>IFERROR(_xlfn.XLOOKUP($A12,'Raw Data'!$G:$G,'Raw Data'!$AM:$AM),"")</f>
        <v>12.200000000000003</v>
      </c>
      <c r="G12" s="104">
        <f>IFERROR(_xlfn.XLOOKUP($A12,'Raw Data'!$G:$G,'Raw Data'!$AB:$AB),"")</f>
        <v>0</v>
      </c>
      <c r="H12" s="104"/>
      <c r="I12" s="104">
        <f>IFERROR(_xlfn.XLOOKUP($A12,'Raw Data'!$G:$G,'Raw Data'!$AC:$AC),"")</f>
        <v>5.83</v>
      </c>
      <c r="J12" s="104"/>
      <c r="K12" s="104">
        <f>IFERROR(_xlfn.XLOOKUP($A12,'Raw Data'!$G:$G,'Raw Data'!AD:AD),"")</f>
        <v>0</v>
      </c>
      <c r="L12" s="104">
        <f>IFERROR(_xlfn.XLOOKUP($A12,'Raw Data'!$G:$G,'Raw Data'!AE:AE),"")</f>
        <v>43.19</v>
      </c>
      <c r="M12" s="104">
        <f>IFERROR(_xlfn.XLOOKUP($A12,'Raw Data'!$G:$G,'Raw Data'!AF:AF),"")</f>
        <v>0</v>
      </c>
      <c r="N12" s="104">
        <f>IFERROR(_xlfn.XLOOKUP($A12,'Raw Data'!$G:$G,'Raw Data'!AG:AG),"")</f>
        <v>0</v>
      </c>
      <c r="O12" s="105">
        <f>IFERROR(1-SUMIF('Plant BD'!$B:$B,$A12,'Plant BD'!$AM:$AM)/($AA12+SUMIF('Plant BD'!$B:$B,$A12,'Plant BD'!$AM:$AM)),"")</f>
        <v>0.87016506936805027</v>
      </c>
      <c r="P12" s="105"/>
      <c r="Q12" s="106"/>
      <c r="R12" s="105">
        <f>IFERROR(1-SUMIF('Grid BD'!$B:$B,$A12,'Grid BD'!$AE:$AE)/($AA12+SUMIF('Grid BD'!$B:$B,$A12,'Grid BD'!$AE:$AE)),"")</f>
        <v>1</v>
      </c>
      <c r="T12" s="106"/>
      <c r="U12" s="107">
        <f t="shared" si="1"/>
        <v>0.7495426773884426</v>
      </c>
      <c r="V12" s="107"/>
      <c r="W12" s="108">
        <f t="shared" si="2"/>
        <v>0.18207640871560915</v>
      </c>
      <c r="X12" s="101">
        <f>IFERROR(_xlfn.XLOOKUP($A12,'Raw Data'!$G:$G,'Raw Data'!AI:AI),"")</f>
        <v>35437.799999999996</v>
      </c>
      <c r="Y12" s="101">
        <f>IFERROR(_xlfn.XLOOKUP($A12,'Raw Data'!$G:$G,'Raw Data'!AJ:AJ),"")</f>
        <v>35150.000000008731</v>
      </c>
      <c r="Z12" s="101">
        <f>IFERROR(_xlfn.XLOOKUP($A12,'Raw Data'!$G:$G,'Raw Data'!AK:AK),"")</f>
        <v>100.00000000002274</v>
      </c>
      <c r="AA12" s="101">
        <f>IFERROR(_xlfn.XLOOKUP($A12,'Raw Data'!$G:$G,'Raw Data'!$AL:$AL)*(1+(_xlfn.XLOOKUP(Table13[[#This Row],[Month Year]],JMR!$A:$A,JMR!$J:$J))),"")</f>
        <v>35050.000000008709</v>
      </c>
      <c r="AB12" s="101">
        <f>IFERROR(_xlfn.XLOOKUP($A12,'Raw Data'!$G:$G,'Raw Data'!H:H),"")</f>
        <v>8.0208999999999993</v>
      </c>
      <c r="AC12" s="67">
        <f>IFERROR(_xlfn.XLOOKUP($D12,'Modelling New'!$D:$D,'Modelling New'!P:P),"")</f>
        <v>6.39</v>
      </c>
      <c r="AD12" s="101">
        <f>IFERROR(_xlfn.XLOOKUP($D12,'Modelling New'!$D:$D,'Modelling New'!$T:$T)*1000,"")</f>
        <v>34610.228394529106</v>
      </c>
      <c r="AE12" s="109">
        <f>IFERROR(_xlfn.XLOOKUP($D12,'Modelling New'!$D:$D,'Modelling New'!O:O),"")</f>
        <v>0.67527474134483101</v>
      </c>
      <c r="AF12" s="108">
        <f>IFERROR(_xlfn.XLOOKUP($D12,'Modelling New'!$D:$D,'Modelling New'!W:W),"")</f>
        <v>0.17979189988306124</v>
      </c>
      <c r="AG12" s="108">
        <f>IFERROR(_xlfn.XLOOKUP($D12,'Modelling New'!$D:$D,'Modelling New'!AE:AE),"")</f>
        <v>0.98040000000000005</v>
      </c>
      <c r="AH12" s="128">
        <f>IFERROR(_xlfn.XLOOKUP($D12,'Modelling New'!$D:$D,'Modelling New'!AF:AF),"")</f>
        <v>0.98</v>
      </c>
      <c r="AN12" s="105"/>
      <c r="AO12" s="108"/>
      <c r="AP12" s="108"/>
      <c r="AQ12" s="108"/>
      <c r="AR12" s="101">
        <f>'Basic Data'!$B$98/1000</f>
        <v>8.0208999999999993</v>
      </c>
      <c r="AT12" s="7">
        <f>IFERROR(_xlfn.XLOOKUP(Table13[[#This Row],[Date]],'Raw Data'!$G:$G,'Raw Data'!$AN:$AN),"")</f>
        <v>0</v>
      </c>
      <c r="AU12" s="7">
        <f>IFERROR(_xlfn.XLOOKUP(Table13[[#This Row],[Month Year]],'Modelling New'!$D:$D,'Modelling New'!$AO:$AO),"")</f>
        <v>8</v>
      </c>
      <c r="AV12" s="7">
        <f>SUMIF('Curtailment Records'!$C:$C,Table13[[#This Row],[Date]],'Curtailment Records'!$R:$R)/1000</f>
        <v>0</v>
      </c>
    </row>
    <row r="13" spans="1:48" x14ac:dyDescent="0.3">
      <c r="A13" s="100">
        <f t="shared" si="3"/>
        <v>45756</v>
      </c>
      <c r="B13" s="101">
        <f>YEAR(Table13[[#This Row],[Date]])+IF(MONTH(Table13[[#This Row],[Date]])&gt;=4,1,0)</f>
        <v>2026</v>
      </c>
      <c r="C13" s="7">
        <f>YEAR(Table13[[#This Row],[Date]])</f>
        <v>2025</v>
      </c>
      <c r="D13" s="102">
        <f>Table13[[#This Row],[Date]]-DAY(Table13[[#This Row],[Date]])+1</f>
        <v>45748</v>
      </c>
      <c r="E13" s="7">
        <f t="shared" si="0"/>
        <v>30</v>
      </c>
      <c r="F13" s="103">
        <f>IFERROR(_xlfn.XLOOKUP($A13,'Raw Data'!$G:$G,'Raw Data'!$AM:$AM),"")</f>
        <v>12.233333333333334</v>
      </c>
      <c r="G13" s="104">
        <f>IFERROR(_xlfn.XLOOKUP($A13,'Raw Data'!$G:$G,'Raw Data'!$AB:$AB),"")</f>
        <v>0</v>
      </c>
      <c r="H13" s="104"/>
      <c r="I13" s="104">
        <f>IFERROR(_xlfn.XLOOKUP($A13,'Raw Data'!$G:$G,'Raw Data'!$AC:$AC),"")</f>
        <v>6.34</v>
      </c>
      <c r="J13" s="104"/>
      <c r="K13" s="104">
        <f>IFERROR(_xlfn.XLOOKUP($A13,'Raw Data'!$G:$G,'Raw Data'!AD:AD),"")</f>
        <v>0</v>
      </c>
      <c r="L13" s="104">
        <f>IFERROR(_xlfn.XLOOKUP($A13,'Raw Data'!$G:$G,'Raw Data'!AE:AE),"")</f>
        <v>44.41</v>
      </c>
      <c r="M13" s="104">
        <f>IFERROR(_xlfn.XLOOKUP($A13,'Raw Data'!$G:$G,'Raw Data'!AF:AF),"")</f>
        <v>0</v>
      </c>
      <c r="N13" s="104">
        <f>IFERROR(_xlfn.XLOOKUP($A13,'Raw Data'!$G:$G,'Raw Data'!AG:AG),"")</f>
        <v>0</v>
      </c>
      <c r="O13" s="105">
        <f>IFERROR(1-SUMIF('Plant BD'!$B:$B,$A13,'Plant BD'!$AM:$AM)/($AA13+SUMIF('Plant BD'!$B:$B,$A13,'Plant BD'!$AM:$AM)),"")</f>
        <v>0.84304360467856565</v>
      </c>
      <c r="P13" s="105"/>
      <c r="Q13" s="106"/>
      <c r="R13" s="105">
        <f>IFERROR(1-SUMIF('Grid BD'!$B:$B,$A13,'Grid BD'!$AE:$AE)/($AA13+SUMIF('Grid BD'!$B:$B,$A13,'Grid BD'!$AE:$AE)),"")</f>
        <v>1</v>
      </c>
      <c r="T13" s="106"/>
      <c r="U13" s="107">
        <f t="shared" si="1"/>
        <v>0.71972854199156144</v>
      </c>
      <c r="V13" s="107"/>
      <c r="W13" s="108">
        <f t="shared" si="2"/>
        <v>0.19012828984277078</v>
      </c>
      <c r="X13" s="101">
        <f>IFERROR(_xlfn.XLOOKUP($A13,'Raw Data'!$G:$G,'Raw Data'!AI:AI),"")</f>
        <v>36980</v>
      </c>
      <c r="Y13" s="101">
        <f>IFERROR(_xlfn.XLOOKUP($A13,'Raw Data'!$G:$G,'Raw Data'!AJ:AJ),"")</f>
        <v>36699.99999999709</v>
      </c>
      <c r="Z13" s="101">
        <f>IFERROR(_xlfn.XLOOKUP($A13,'Raw Data'!$G:$G,'Raw Data'!AK:AK),"")</f>
        <v>99.999999999965894</v>
      </c>
      <c r="AA13" s="101">
        <f>IFERROR(_xlfn.XLOOKUP($A13,'Raw Data'!$G:$G,'Raw Data'!$AL:$AL)*(1+(_xlfn.XLOOKUP(Table13[[#This Row],[Month Year]],JMR!$A:$A,JMR!$J:$J))),"")</f>
        <v>36599.999999997126</v>
      </c>
      <c r="AB13" s="101">
        <f>IFERROR(_xlfn.XLOOKUP($A13,'Raw Data'!$G:$G,'Raw Data'!H:H),"")</f>
        <v>8.0208999999999993</v>
      </c>
      <c r="AC13" s="67">
        <f>IFERROR(_xlfn.XLOOKUP($D13,'Modelling New'!$D:$D,'Modelling New'!P:P),"")</f>
        <v>6.39</v>
      </c>
      <c r="AD13" s="101">
        <f>IFERROR(_xlfn.XLOOKUP($D13,'Modelling New'!$D:$D,'Modelling New'!$T:$T)*1000,"")</f>
        <v>34610.228394529106</v>
      </c>
      <c r="AE13" s="109">
        <f>IFERROR(_xlfn.XLOOKUP($D13,'Modelling New'!$D:$D,'Modelling New'!O:O),"")</f>
        <v>0.67527474134483101</v>
      </c>
      <c r="AF13" s="108">
        <f>IFERROR(_xlfn.XLOOKUP($D13,'Modelling New'!$D:$D,'Modelling New'!W:W),"")</f>
        <v>0.17979189988306124</v>
      </c>
      <c r="AG13" s="108">
        <f>IFERROR(_xlfn.XLOOKUP($D13,'Modelling New'!$D:$D,'Modelling New'!AE:AE),"")</f>
        <v>0.98040000000000005</v>
      </c>
      <c r="AH13" s="128">
        <f>IFERROR(_xlfn.XLOOKUP($D13,'Modelling New'!$D:$D,'Modelling New'!AF:AF),"")</f>
        <v>0.98</v>
      </c>
      <c r="AN13" s="105"/>
      <c r="AO13" s="108"/>
      <c r="AP13" s="108"/>
      <c r="AQ13" s="108"/>
      <c r="AR13" s="101">
        <f>'Basic Data'!$B$98/1000</f>
        <v>8.0208999999999993</v>
      </c>
      <c r="AT13" s="7">
        <f>IFERROR(_xlfn.XLOOKUP(Table13[[#This Row],[Date]],'Raw Data'!$G:$G,'Raw Data'!$AN:$AN),"")</f>
        <v>0</v>
      </c>
      <c r="AU13" s="7">
        <f>IFERROR(_xlfn.XLOOKUP(Table13[[#This Row],[Month Year]],'Modelling New'!$D:$D,'Modelling New'!$AO:$AO),"")</f>
        <v>8</v>
      </c>
      <c r="AV13" s="7">
        <f>SUMIF('Curtailment Records'!$C:$C,Table13[[#This Row],[Date]],'Curtailment Records'!$R:$R)/1000</f>
        <v>0</v>
      </c>
    </row>
    <row r="14" spans="1:48" x14ac:dyDescent="0.3">
      <c r="A14" s="100">
        <f t="shared" si="3"/>
        <v>45757</v>
      </c>
      <c r="B14" s="101">
        <f>YEAR(Table13[[#This Row],[Date]])+IF(MONTH(Table13[[#This Row],[Date]])&gt;=4,1,0)</f>
        <v>2026</v>
      </c>
      <c r="C14" s="7">
        <f>YEAR(Table13[[#This Row],[Date]])</f>
        <v>2025</v>
      </c>
      <c r="D14" s="102">
        <f>Table13[[#This Row],[Date]]-DAY(Table13[[#This Row],[Date]])+1</f>
        <v>45748</v>
      </c>
      <c r="E14" s="7">
        <f t="shared" si="0"/>
        <v>30</v>
      </c>
      <c r="F14" s="103">
        <f>IFERROR(_xlfn.XLOOKUP($A14,'Raw Data'!$G:$G,'Raw Data'!$AM:$AM),"")</f>
        <v>11.799999999999999</v>
      </c>
      <c r="G14" s="104">
        <f>IFERROR(_xlfn.XLOOKUP($A14,'Raw Data'!$G:$G,'Raw Data'!$AB:$AB),"")</f>
        <v>0</v>
      </c>
      <c r="H14" s="104"/>
      <c r="I14" s="104">
        <f>IFERROR(_xlfn.XLOOKUP($A14,'Raw Data'!$G:$G,'Raw Data'!$AC:$AC),"")</f>
        <v>4.8499999999999996</v>
      </c>
      <c r="J14" s="104"/>
      <c r="K14" s="104">
        <f>IFERROR(_xlfn.XLOOKUP($A14,'Raw Data'!$G:$G,'Raw Data'!AD:AD),"")</f>
        <v>0</v>
      </c>
      <c r="L14" s="104">
        <f>IFERROR(_xlfn.XLOOKUP($A14,'Raw Data'!$G:$G,'Raw Data'!AE:AE),"")</f>
        <v>40.22</v>
      </c>
      <c r="M14" s="104">
        <f>IFERROR(_xlfn.XLOOKUP($A14,'Raw Data'!$G:$G,'Raw Data'!AF:AF),"")</f>
        <v>0</v>
      </c>
      <c r="N14" s="104">
        <f>IFERROR(_xlfn.XLOOKUP($A14,'Raw Data'!$G:$G,'Raw Data'!AG:AG),"")</f>
        <v>0</v>
      </c>
      <c r="O14" s="105">
        <f>IFERROR(1-SUMIF('Plant BD'!$B:$B,$A14,'Plant BD'!$AM:$AM)/($AA14+SUMIF('Plant BD'!$B:$B,$A14,'Plant BD'!$AM:$AM)),"")</f>
        <v>1</v>
      </c>
      <c r="P14" s="105"/>
      <c r="Q14" s="106"/>
      <c r="R14" s="105">
        <f>IFERROR(1-SUMIF('Grid BD'!$B:$B,$A14,'Grid BD'!$AE:$AE)/($AA14+SUMIF('Grid BD'!$B:$B,$A14,'Grid BD'!$AE:$AE)),"")</f>
        <v>0.98207910976920354</v>
      </c>
      <c r="T14" s="106"/>
      <c r="U14" s="107">
        <f t="shared" si="1"/>
        <v>0.83930216844575978</v>
      </c>
      <c r="V14" s="107"/>
      <c r="W14" s="108">
        <f t="shared" si="2"/>
        <v>0.16960897987341392</v>
      </c>
      <c r="X14" s="101">
        <f>IFERROR(_xlfn.XLOOKUP($A14,'Raw Data'!$G:$G,'Raw Data'!AI:AI),"")</f>
        <v>33025</v>
      </c>
      <c r="Y14" s="101">
        <f>IFERROR(_xlfn.XLOOKUP($A14,'Raw Data'!$G:$G,'Raw Data'!AJ:AJ),"")</f>
        <v>32750</v>
      </c>
      <c r="Z14" s="101">
        <f>IFERROR(_xlfn.XLOOKUP($A14,'Raw Data'!$G:$G,'Raw Data'!AK:AK),"")</f>
        <v>100.00000000002274</v>
      </c>
      <c r="AA14" s="101">
        <f>IFERROR(_xlfn.XLOOKUP($A14,'Raw Data'!$G:$G,'Raw Data'!$AL:$AL)*(1+(_xlfn.XLOOKUP(Table13[[#This Row],[Month Year]],JMR!$A:$A,JMR!$J:$J))),"")</f>
        <v>32649.999999999978</v>
      </c>
      <c r="AB14" s="101">
        <f>IFERROR(_xlfn.XLOOKUP($A14,'Raw Data'!$G:$G,'Raw Data'!H:H),"")</f>
        <v>8.0208999999999993</v>
      </c>
      <c r="AC14" s="67">
        <f>IFERROR(_xlfn.XLOOKUP($D14,'Modelling New'!$D:$D,'Modelling New'!P:P),"")</f>
        <v>6.39</v>
      </c>
      <c r="AD14" s="101">
        <f>IFERROR(_xlfn.XLOOKUP($D14,'Modelling New'!$D:$D,'Modelling New'!$T:$T)*1000,"")</f>
        <v>34610.228394529106</v>
      </c>
      <c r="AE14" s="109">
        <f>IFERROR(_xlfn.XLOOKUP($D14,'Modelling New'!$D:$D,'Modelling New'!O:O),"")</f>
        <v>0.67527474134483101</v>
      </c>
      <c r="AF14" s="108">
        <f>IFERROR(_xlfn.XLOOKUP($D14,'Modelling New'!$D:$D,'Modelling New'!W:W),"")</f>
        <v>0.17979189988306124</v>
      </c>
      <c r="AG14" s="108">
        <f>IFERROR(_xlfn.XLOOKUP($D14,'Modelling New'!$D:$D,'Modelling New'!AE:AE),"")</f>
        <v>0.98040000000000005</v>
      </c>
      <c r="AH14" s="128">
        <f>IFERROR(_xlfn.XLOOKUP($D14,'Modelling New'!$D:$D,'Modelling New'!AF:AF),"")</f>
        <v>0.98</v>
      </c>
      <c r="AN14" s="105"/>
      <c r="AO14" s="108"/>
      <c r="AP14" s="108"/>
      <c r="AQ14" s="108"/>
      <c r="AR14" s="101">
        <f>'Basic Data'!$B$98/1000</f>
        <v>8.0208999999999993</v>
      </c>
      <c r="AT14" s="7">
        <f>IFERROR(_xlfn.XLOOKUP(Table13[[#This Row],[Date]],'Raw Data'!$G:$G,'Raw Data'!$AN:$AN),"")</f>
        <v>0</v>
      </c>
      <c r="AU14" s="7">
        <f>IFERROR(_xlfn.XLOOKUP(Table13[[#This Row],[Month Year]],'Modelling New'!$D:$D,'Modelling New'!$AO:$AO),"")</f>
        <v>8</v>
      </c>
      <c r="AV14" s="7">
        <f>SUMIF('Curtailment Records'!$C:$C,Table13[[#This Row],[Date]],'Curtailment Records'!$R:$R)/1000</f>
        <v>0</v>
      </c>
    </row>
    <row r="15" spans="1:48" x14ac:dyDescent="0.3">
      <c r="A15" s="100">
        <f t="shared" si="3"/>
        <v>45758</v>
      </c>
      <c r="B15" s="101">
        <f>YEAR(Table13[[#This Row],[Date]])+IF(MONTH(Table13[[#This Row],[Date]])&gt;=4,1,0)</f>
        <v>2026</v>
      </c>
      <c r="C15" s="7">
        <f>YEAR(Table13[[#This Row],[Date]])</f>
        <v>2025</v>
      </c>
      <c r="D15" s="102">
        <f>Table13[[#This Row],[Date]]-DAY(Table13[[#This Row],[Date]])+1</f>
        <v>45748</v>
      </c>
      <c r="E15" s="7">
        <f t="shared" si="0"/>
        <v>30</v>
      </c>
      <c r="F15" s="103">
        <f>IFERROR(_xlfn.XLOOKUP($A15,'Raw Data'!$G:$G,'Raw Data'!$AM:$AM),"")</f>
        <v>12.466666666666669</v>
      </c>
      <c r="G15" s="104">
        <f>IFERROR(_xlfn.XLOOKUP($A15,'Raw Data'!$G:$G,'Raw Data'!$AB:$AB),"")</f>
        <v>0</v>
      </c>
      <c r="H15" s="104"/>
      <c r="I15" s="104">
        <f>IFERROR(_xlfn.XLOOKUP($A15,'Raw Data'!$G:$G,'Raw Data'!$AC:$AC),"")</f>
        <v>6.33</v>
      </c>
      <c r="J15" s="104"/>
      <c r="K15" s="104">
        <f>IFERROR(_xlfn.XLOOKUP($A15,'Raw Data'!$G:$G,'Raw Data'!AD:AD),"")</f>
        <v>0</v>
      </c>
      <c r="L15" s="104">
        <f>IFERROR(_xlfn.XLOOKUP($A15,'Raw Data'!$G:$G,'Raw Data'!AE:AE),"")</f>
        <v>41.85</v>
      </c>
      <c r="M15" s="104">
        <f>IFERROR(_xlfn.XLOOKUP($A15,'Raw Data'!$G:$G,'Raw Data'!AF:AF),"")</f>
        <v>0</v>
      </c>
      <c r="N15" s="104">
        <f>IFERROR(_xlfn.XLOOKUP($A15,'Raw Data'!$G:$G,'Raw Data'!AG:AG),"")</f>
        <v>0</v>
      </c>
      <c r="O15" s="105">
        <f>IFERROR(1-SUMIF('Plant BD'!$B:$B,$A15,'Plant BD'!$AM:$AM)/($AA15+SUMIF('Plant BD'!$B:$B,$A15,'Plant BD'!$AM:$AM)),"")</f>
        <v>0.96690123972020015</v>
      </c>
      <c r="P15" s="105"/>
      <c r="Q15" s="106"/>
      <c r="R15" s="105">
        <f>IFERROR(1-SUMIF('Grid BD'!$B:$B,$A15,'Grid BD'!$AE:$AE)/($AA15+SUMIF('Grid BD'!$B:$B,$A15,'Grid BD'!$AE:$AE)),"")</f>
        <v>1</v>
      </c>
      <c r="T15" s="106"/>
      <c r="U15" s="107">
        <f t="shared" si="1"/>
        <v>0.77404416034189194</v>
      </c>
      <c r="V15" s="107"/>
      <c r="W15" s="108">
        <f t="shared" si="2"/>
        <v>0.20415414729017398</v>
      </c>
      <c r="X15" s="101">
        <f>IFERROR(_xlfn.XLOOKUP($A15,'Raw Data'!$G:$G,'Raw Data'!AI:AI),"")</f>
        <v>39702.299999999996</v>
      </c>
      <c r="Y15" s="101">
        <f>IFERROR(_xlfn.XLOOKUP($A15,'Raw Data'!$G:$G,'Raw Data'!AJ:AJ),"")</f>
        <v>39399.999999994179</v>
      </c>
      <c r="Z15" s="101">
        <f>IFERROR(_xlfn.XLOOKUP($A15,'Raw Data'!$G:$G,'Raw Data'!AK:AK),"")</f>
        <v>100.00000000002274</v>
      </c>
      <c r="AA15" s="101">
        <f>IFERROR(_xlfn.XLOOKUP($A15,'Raw Data'!$G:$G,'Raw Data'!$AL:$AL)*(1+(_xlfn.XLOOKUP(Table13[[#This Row],[Month Year]],JMR!$A:$A,JMR!$J:$J))),"")</f>
        <v>39299.999999994157</v>
      </c>
      <c r="AB15" s="101">
        <f>IFERROR(_xlfn.XLOOKUP($A15,'Raw Data'!$G:$G,'Raw Data'!H:H),"")</f>
        <v>8.0208999999999993</v>
      </c>
      <c r="AC15" s="67">
        <f>IFERROR(_xlfn.XLOOKUP($D15,'Modelling New'!$D:$D,'Modelling New'!P:P),"")</f>
        <v>6.39</v>
      </c>
      <c r="AD15" s="101">
        <f>IFERROR(_xlfn.XLOOKUP($D15,'Modelling New'!$D:$D,'Modelling New'!$T:$T)*1000,"")</f>
        <v>34610.228394529106</v>
      </c>
      <c r="AE15" s="109">
        <f>IFERROR(_xlfn.XLOOKUP($D15,'Modelling New'!$D:$D,'Modelling New'!O:O),"")</f>
        <v>0.67527474134483101</v>
      </c>
      <c r="AF15" s="108">
        <f>IFERROR(_xlfn.XLOOKUP($D15,'Modelling New'!$D:$D,'Modelling New'!W:W),"")</f>
        <v>0.17979189988306124</v>
      </c>
      <c r="AG15" s="108">
        <f>IFERROR(_xlfn.XLOOKUP($D15,'Modelling New'!$D:$D,'Modelling New'!AE:AE),"")</f>
        <v>0.98040000000000005</v>
      </c>
      <c r="AH15" s="128">
        <f>IFERROR(_xlfn.XLOOKUP($D15,'Modelling New'!$D:$D,'Modelling New'!AF:AF),"")</f>
        <v>0.98</v>
      </c>
      <c r="AN15" s="105"/>
      <c r="AO15" s="108"/>
      <c r="AP15" s="108"/>
      <c r="AQ15" s="108"/>
      <c r="AR15" s="101">
        <f>'Basic Data'!$B$98/1000</f>
        <v>8.0208999999999993</v>
      </c>
      <c r="AT15" s="7">
        <f>IFERROR(_xlfn.XLOOKUP(Table13[[#This Row],[Date]],'Raw Data'!$G:$G,'Raw Data'!$AN:$AN),"")</f>
        <v>0</v>
      </c>
      <c r="AU15" s="7">
        <f>IFERROR(_xlfn.XLOOKUP(Table13[[#This Row],[Month Year]],'Modelling New'!$D:$D,'Modelling New'!$AO:$AO),"")</f>
        <v>8</v>
      </c>
      <c r="AV15" s="7">
        <f>SUMIF('Curtailment Records'!$C:$C,Table13[[#This Row],[Date]],'Curtailment Records'!$R:$R)/1000</f>
        <v>0</v>
      </c>
    </row>
    <row r="16" spans="1:48" x14ac:dyDescent="0.3">
      <c r="A16" s="100">
        <f t="shared" si="3"/>
        <v>45759</v>
      </c>
      <c r="B16" s="101">
        <f>YEAR(Table13[[#This Row],[Date]])+IF(MONTH(Table13[[#This Row],[Date]])&gt;=4,1,0)</f>
        <v>2026</v>
      </c>
      <c r="C16" s="7">
        <f>YEAR(Table13[[#This Row],[Date]])</f>
        <v>2025</v>
      </c>
      <c r="D16" s="102">
        <f>Table13[[#This Row],[Date]]-DAY(Table13[[#This Row],[Date]])+1</f>
        <v>45748</v>
      </c>
      <c r="E16" s="7">
        <f t="shared" si="0"/>
        <v>30</v>
      </c>
      <c r="F16" s="103">
        <f>IFERROR(_xlfn.XLOOKUP($A16,'Raw Data'!$G:$G,'Raw Data'!$AM:$AM),"")</f>
        <v>12.333333333333336</v>
      </c>
      <c r="G16" s="104">
        <f>IFERROR(_xlfn.XLOOKUP($A16,'Raw Data'!$G:$G,'Raw Data'!$AB:$AB),"")</f>
        <v>0</v>
      </c>
      <c r="H16" s="104"/>
      <c r="I16" s="104">
        <f>IFERROR(_xlfn.XLOOKUP($A16,'Raw Data'!$G:$G,'Raw Data'!$AC:$AC),"")</f>
        <v>6.54</v>
      </c>
      <c r="J16" s="104"/>
      <c r="K16" s="104">
        <f>IFERROR(_xlfn.XLOOKUP($A16,'Raw Data'!$G:$G,'Raw Data'!AD:AD),"")</f>
        <v>0</v>
      </c>
      <c r="L16" s="104">
        <f>IFERROR(_xlfn.XLOOKUP($A16,'Raw Data'!$G:$G,'Raw Data'!AE:AE),"")</f>
        <v>43.84</v>
      </c>
      <c r="M16" s="104">
        <f>IFERROR(_xlfn.XLOOKUP($A16,'Raw Data'!$G:$G,'Raw Data'!AF:AF),"")</f>
        <v>0</v>
      </c>
      <c r="N16" s="104">
        <f>IFERROR(_xlfn.XLOOKUP($A16,'Raw Data'!$G:$G,'Raw Data'!AG:AG),"")</f>
        <v>0</v>
      </c>
      <c r="O16" s="105">
        <f>IFERROR(1-SUMIF('Plant BD'!$B:$B,$A16,'Plant BD'!$AM:$AM)/($AA16+SUMIF('Plant BD'!$B:$B,$A16,'Plant BD'!$AM:$AM)),"")</f>
        <v>0.96517659727048144</v>
      </c>
      <c r="P16" s="105"/>
      <c r="Q16" s="106"/>
      <c r="R16" s="105">
        <f>IFERROR(1-SUMIF('Grid BD'!$B:$B,$A16,'Grid BD'!$AE:$AE)/($AA16+SUMIF('Grid BD'!$B:$B,$A16,'Grid BD'!$AE:$AE)),"")</f>
        <v>1</v>
      </c>
      <c r="T16" s="106"/>
      <c r="U16" s="107">
        <f t="shared" si="1"/>
        <v>0.73965785791364658</v>
      </c>
      <c r="V16" s="107"/>
      <c r="W16" s="108">
        <f t="shared" si="2"/>
        <v>0.20155676628146865</v>
      </c>
      <c r="X16" s="101">
        <f>IFERROR(_xlfn.XLOOKUP($A16,'Raw Data'!$G:$G,'Raw Data'!AI:AI),"")</f>
        <v>39165</v>
      </c>
      <c r="Y16" s="101">
        <f>IFERROR(_xlfn.XLOOKUP($A16,'Raw Data'!$G:$G,'Raw Data'!AJ:AJ),"")</f>
        <v>38900.000000008731</v>
      </c>
      <c r="Z16" s="101">
        <f>IFERROR(_xlfn.XLOOKUP($A16,'Raw Data'!$G:$G,'Raw Data'!AK:AK),"")</f>
        <v>99.999999999965894</v>
      </c>
      <c r="AA16" s="101">
        <f>IFERROR(_xlfn.XLOOKUP($A16,'Raw Data'!$G:$G,'Raw Data'!$AL:$AL)*(1+(_xlfn.XLOOKUP(Table13[[#This Row],[Month Year]],JMR!$A:$A,JMR!$J:$J))),"")</f>
        <v>38800.000000008768</v>
      </c>
      <c r="AB16" s="101">
        <f>IFERROR(_xlfn.XLOOKUP($A16,'Raw Data'!$G:$G,'Raw Data'!H:H),"")</f>
        <v>8.0208999999999993</v>
      </c>
      <c r="AC16" s="67">
        <f>IFERROR(_xlfn.XLOOKUP($D16,'Modelling New'!$D:$D,'Modelling New'!P:P),"")</f>
        <v>6.39</v>
      </c>
      <c r="AD16" s="101">
        <f>IFERROR(_xlfn.XLOOKUP($D16,'Modelling New'!$D:$D,'Modelling New'!$T:$T)*1000,"")</f>
        <v>34610.228394529106</v>
      </c>
      <c r="AE16" s="109">
        <f>IFERROR(_xlfn.XLOOKUP($D16,'Modelling New'!$D:$D,'Modelling New'!O:O),"")</f>
        <v>0.67527474134483101</v>
      </c>
      <c r="AF16" s="108">
        <f>IFERROR(_xlfn.XLOOKUP($D16,'Modelling New'!$D:$D,'Modelling New'!W:W),"")</f>
        <v>0.17979189988306124</v>
      </c>
      <c r="AG16" s="108">
        <f>IFERROR(_xlfn.XLOOKUP($D16,'Modelling New'!$D:$D,'Modelling New'!AE:AE),"")</f>
        <v>0.98040000000000005</v>
      </c>
      <c r="AH16" s="128">
        <f>IFERROR(_xlfn.XLOOKUP($D16,'Modelling New'!$D:$D,'Modelling New'!AF:AF),"")</f>
        <v>0.98</v>
      </c>
      <c r="AN16" s="105"/>
      <c r="AO16" s="108"/>
      <c r="AP16" s="108"/>
      <c r="AQ16" s="108"/>
      <c r="AR16" s="101">
        <f>'Basic Data'!$B$98/1000</f>
        <v>8.0208999999999993</v>
      </c>
      <c r="AT16" s="7">
        <f>IFERROR(_xlfn.XLOOKUP(Table13[[#This Row],[Date]],'Raw Data'!$G:$G,'Raw Data'!$AN:$AN),"")</f>
        <v>0</v>
      </c>
      <c r="AU16" s="7">
        <f>IFERROR(_xlfn.XLOOKUP(Table13[[#This Row],[Month Year]],'Modelling New'!$D:$D,'Modelling New'!$AO:$AO),"")</f>
        <v>8</v>
      </c>
      <c r="AV16" s="7">
        <f>SUMIF('Curtailment Records'!$C:$C,Table13[[#This Row],[Date]],'Curtailment Records'!$R:$R)/1000</f>
        <v>0</v>
      </c>
    </row>
    <row r="17" spans="1:48" x14ac:dyDescent="0.3">
      <c r="A17" s="100">
        <f t="shared" si="3"/>
        <v>45760</v>
      </c>
      <c r="B17" s="101">
        <f>YEAR(Table13[[#This Row],[Date]])+IF(MONTH(Table13[[#This Row],[Date]])&gt;=4,1,0)</f>
        <v>2026</v>
      </c>
      <c r="C17" s="7">
        <f>YEAR(Table13[[#This Row],[Date]])</f>
        <v>2025</v>
      </c>
      <c r="D17" s="102">
        <f>Table13[[#This Row],[Date]]-DAY(Table13[[#This Row],[Date]])+1</f>
        <v>45748</v>
      </c>
      <c r="E17" s="7">
        <f t="shared" si="0"/>
        <v>30</v>
      </c>
      <c r="F17" s="103">
        <f>IFERROR(_xlfn.XLOOKUP($A17,'Raw Data'!$G:$G,'Raw Data'!$AM:$AM),"")</f>
        <v>12.416666666666668</v>
      </c>
      <c r="G17" s="104">
        <f>IFERROR(_xlfn.XLOOKUP($A17,'Raw Data'!$G:$G,'Raw Data'!$AB:$AB),"")</f>
        <v>0</v>
      </c>
      <c r="H17" s="104"/>
      <c r="I17" s="104">
        <f>IFERROR(_xlfn.XLOOKUP($A17,'Raw Data'!$G:$G,'Raw Data'!$AC:$AC),"")</f>
        <v>6.35</v>
      </c>
      <c r="J17" s="104"/>
      <c r="K17" s="104">
        <f>IFERROR(_xlfn.XLOOKUP($A17,'Raw Data'!$G:$G,'Raw Data'!AD:AD),"")</f>
        <v>0</v>
      </c>
      <c r="L17" s="104">
        <f>IFERROR(_xlfn.XLOOKUP($A17,'Raw Data'!$G:$G,'Raw Data'!AE:AE),"")</f>
        <v>45.16</v>
      </c>
      <c r="M17" s="104">
        <f>IFERROR(_xlfn.XLOOKUP($A17,'Raw Data'!$G:$G,'Raw Data'!AF:AF),"")</f>
        <v>0</v>
      </c>
      <c r="N17" s="104">
        <f>IFERROR(_xlfn.XLOOKUP($A17,'Raw Data'!$G:$G,'Raw Data'!AG:AG),"")</f>
        <v>0</v>
      </c>
      <c r="O17" s="105">
        <f>IFERROR(1-SUMIF('Plant BD'!$B:$B,$A17,'Plant BD'!$AM:$AM)/($AA17+SUMIF('Plant BD'!$B:$B,$A17,'Plant BD'!$AM:$AM)),"")</f>
        <v>0.97868764000228869</v>
      </c>
      <c r="P17" s="105"/>
      <c r="Q17" s="106"/>
      <c r="R17" s="105">
        <f>IFERROR(1-SUMIF('Grid BD'!$B:$B,$A17,'Grid BD'!$AE:$AE)/($AA17+SUMIF('Grid BD'!$B:$B,$A17,'Grid BD'!$AE:$AE)),"")</f>
        <v>0.96686456533672882</v>
      </c>
      <c r="T17" s="106"/>
      <c r="U17" s="107">
        <f t="shared" si="1"/>
        <v>0.713686674664743</v>
      </c>
      <c r="V17" s="107"/>
      <c r="W17" s="108">
        <f t="shared" si="2"/>
        <v>0.18882959933837987</v>
      </c>
      <c r="X17" s="101">
        <f>IFERROR(_xlfn.XLOOKUP($A17,'Raw Data'!$G:$G,'Raw Data'!AI:AI),"")</f>
        <v>36720.399999999994</v>
      </c>
      <c r="Y17" s="101">
        <f>IFERROR(_xlfn.XLOOKUP($A17,'Raw Data'!$G:$G,'Raw Data'!AJ:AJ),"")</f>
        <v>36449.99999999709</v>
      </c>
      <c r="Z17" s="101">
        <f>IFERROR(_xlfn.XLOOKUP($A17,'Raw Data'!$G:$G,'Raw Data'!AK:AK),"")</f>
        <v>100.00000000002274</v>
      </c>
      <c r="AA17" s="101">
        <f>IFERROR(_xlfn.XLOOKUP($A17,'Raw Data'!$G:$G,'Raw Data'!$AL:$AL)*(1+(_xlfn.XLOOKUP(Table13[[#This Row],[Month Year]],JMR!$A:$A,JMR!$J:$J))),"")</f>
        <v>36349.999999997068</v>
      </c>
      <c r="AB17" s="101">
        <f>IFERROR(_xlfn.XLOOKUP($A17,'Raw Data'!$G:$G,'Raw Data'!H:H),"")</f>
        <v>8.0208999999999993</v>
      </c>
      <c r="AC17" s="67">
        <f>IFERROR(_xlfn.XLOOKUP($D17,'Modelling New'!$D:$D,'Modelling New'!P:P),"")</f>
        <v>6.39</v>
      </c>
      <c r="AD17" s="101">
        <f>IFERROR(_xlfn.XLOOKUP($D17,'Modelling New'!$D:$D,'Modelling New'!$T:$T)*1000,"")</f>
        <v>34610.228394529106</v>
      </c>
      <c r="AE17" s="109">
        <f>IFERROR(_xlfn.XLOOKUP($D17,'Modelling New'!$D:$D,'Modelling New'!O:O),"")</f>
        <v>0.67527474134483101</v>
      </c>
      <c r="AF17" s="108">
        <f>IFERROR(_xlfn.XLOOKUP($D17,'Modelling New'!$D:$D,'Modelling New'!W:W),"")</f>
        <v>0.17979189988306124</v>
      </c>
      <c r="AG17" s="108">
        <f>IFERROR(_xlfn.XLOOKUP($D17,'Modelling New'!$D:$D,'Modelling New'!AE:AE),"")</f>
        <v>0.98040000000000005</v>
      </c>
      <c r="AH17" s="128">
        <f>IFERROR(_xlfn.XLOOKUP($D17,'Modelling New'!$D:$D,'Modelling New'!AF:AF),"")</f>
        <v>0.98</v>
      </c>
      <c r="AN17" s="105"/>
      <c r="AO17" s="108"/>
      <c r="AP17" s="108"/>
      <c r="AQ17" s="108"/>
      <c r="AR17" s="101">
        <f>'Basic Data'!$B$98/1000</f>
        <v>8.0208999999999993</v>
      </c>
      <c r="AT17" s="7">
        <f>IFERROR(_xlfn.XLOOKUP(Table13[[#This Row],[Date]],'Raw Data'!$G:$G,'Raw Data'!$AN:$AN),"")</f>
        <v>0</v>
      </c>
      <c r="AU17" s="7">
        <f>IFERROR(_xlfn.XLOOKUP(Table13[[#This Row],[Month Year]],'Modelling New'!$D:$D,'Modelling New'!$AO:$AO),"")</f>
        <v>8</v>
      </c>
      <c r="AV17" s="7">
        <f>SUMIF('Curtailment Records'!$C:$C,Table13[[#This Row],[Date]],'Curtailment Records'!$R:$R)/1000</f>
        <v>0</v>
      </c>
    </row>
    <row r="18" spans="1:48" x14ac:dyDescent="0.3">
      <c r="A18" s="100">
        <f t="shared" si="3"/>
        <v>45761</v>
      </c>
      <c r="B18" s="101">
        <f>YEAR(Table13[[#This Row],[Date]])+IF(MONTH(Table13[[#This Row],[Date]])&gt;=4,1,0)</f>
        <v>2026</v>
      </c>
      <c r="C18" s="7">
        <f>YEAR(Table13[[#This Row],[Date]])</f>
        <v>2025</v>
      </c>
      <c r="D18" s="102">
        <f>Table13[[#This Row],[Date]]-DAY(Table13[[#This Row],[Date]])+1</f>
        <v>45748</v>
      </c>
      <c r="E18" s="7">
        <f t="shared" si="0"/>
        <v>30</v>
      </c>
      <c r="F18" s="103">
        <f>IFERROR(_xlfn.XLOOKUP($A18,'Raw Data'!$G:$G,'Raw Data'!$AM:$AM),"")</f>
        <v>12.466666666666669</v>
      </c>
      <c r="G18" s="104">
        <f>IFERROR(_xlfn.XLOOKUP($A18,'Raw Data'!$G:$G,'Raw Data'!$AB:$AB),"")</f>
        <v>0</v>
      </c>
      <c r="H18" s="104"/>
      <c r="I18" s="104">
        <f>IFERROR(_xlfn.XLOOKUP($A18,'Raw Data'!$G:$G,'Raw Data'!$AC:$AC),"")</f>
        <v>6.09</v>
      </c>
      <c r="J18" s="104"/>
      <c r="K18" s="104">
        <f>IFERROR(_xlfn.XLOOKUP($A18,'Raw Data'!$G:$G,'Raw Data'!AD:AD),"")</f>
        <v>0</v>
      </c>
      <c r="L18" s="104">
        <f>IFERROR(_xlfn.XLOOKUP($A18,'Raw Data'!$G:$G,'Raw Data'!AE:AE),"")</f>
        <v>43.95</v>
      </c>
      <c r="M18" s="104">
        <f>IFERROR(_xlfn.XLOOKUP($A18,'Raw Data'!$G:$G,'Raw Data'!AF:AF),"")</f>
        <v>0</v>
      </c>
      <c r="N18" s="104">
        <f>IFERROR(_xlfn.XLOOKUP($A18,'Raw Data'!$G:$G,'Raw Data'!AG:AG),"")</f>
        <v>0</v>
      </c>
      <c r="O18" s="105">
        <f>IFERROR(1-SUMIF('Plant BD'!$B:$B,$A18,'Plant BD'!$AM:$AM)/($AA18+SUMIF('Plant BD'!$B:$B,$A18,'Plant BD'!$AM:$AM)),"")</f>
        <v>0.96036026374984751</v>
      </c>
      <c r="P18" s="105"/>
      <c r="Q18" s="106"/>
      <c r="R18" s="105">
        <f>IFERROR(1-SUMIF('Grid BD'!$B:$B,$A18,'Grid BD'!$AE:$AE)/($AA18+SUMIF('Grid BD'!$B:$B,$A18,'Grid BD'!$AE:$AE)),"")</f>
        <v>1</v>
      </c>
      <c r="T18" s="106"/>
      <c r="U18" s="107">
        <f t="shared" si="1"/>
        <v>0.79124158415286294</v>
      </c>
      <c r="V18" s="107"/>
      <c r="W18" s="108">
        <f t="shared" si="2"/>
        <v>0.20077755197878894</v>
      </c>
      <c r="X18" s="101">
        <f>IFERROR(_xlfn.XLOOKUP($A18,'Raw Data'!$G:$G,'Raw Data'!AI:AI),"")</f>
        <v>39032</v>
      </c>
      <c r="Y18" s="101">
        <f>IFERROR(_xlfn.XLOOKUP($A18,'Raw Data'!$G:$G,'Raw Data'!AJ:AJ),"")</f>
        <v>38750</v>
      </c>
      <c r="Z18" s="101">
        <f>IFERROR(_xlfn.XLOOKUP($A18,'Raw Data'!$G:$G,'Raw Data'!AK:AK),"")</f>
        <v>99.999999999965894</v>
      </c>
      <c r="AA18" s="101">
        <f>IFERROR(_xlfn.XLOOKUP($A18,'Raw Data'!$G:$G,'Raw Data'!$AL:$AL)*(1+(_xlfn.XLOOKUP(Table13[[#This Row],[Month Year]],JMR!$A:$A,JMR!$J:$J))),"")</f>
        <v>38650.000000000036</v>
      </c>
      <c r="AB18" s="101">
        <f>IFERROR(_xlfn.XLOOKUP($A18,'Raw Data'!$G:$G,'Raw Data'!H:H),"")</f>
        <v>8.0208999999999993</v>
      </c>
      <c r="AC18" s="67">
        <f>IFERROR(_xlfn.XLOOKUP($D18,'Modelling New'!$D:$D,'Modelling New'!P:P),"")</f>
        <v>6.39</v>
      </c>
      <c r="AD18" s="101">
        <f>IFERROR(_xlfn.XLOOKUP($D18,'Modelling New'!$D:$D,'Modelling New'!$T:$T)*1000,"")</f>
        <v>34610.228394529106</v>
      </c>
      <c r="AE18" s="109">
        <f>IFERROR(_xlfn.XLOOKUP($D18,'Modelling New'!$D:$D,'Modelling New'!O:O),"")</f>
        <v>0.67527474134483101</v>
      </c>
      <c r="AF18" s="108">
        <f>IFERROR(_xlfn.XLOOKUP($D18,'Modelling New'!$D:$D,'Modelling New'!W:W),"")</f>
        <v>0.17979189988306124</v>
      </c>
      <c r="AG18" s="108">
        <f>IFERROR(_xlfn.XLOOKUP($D18,'Modelling New'!$D:$D,'Modelling New'!AE:AE),"")</f>
        <v>0.98040000000000005</v>
      </c>
      <c r="AH18" s="128">
        <f>IFERROR(_xlfn.XLOOKUP($D18,'Modelling New'!$D:$D,'Modelling New'!AF:AF),"")</f>
        <v>0.98</v>
      </c>
      <c r="AN18" s="105"/>
      <c r="AO18" s="108"/>
      <c r="AP18" s="108"/>
      <c r="AQ18" s="108"/>
      <c r="AR18" s="101">
        <f>'Basic Data'!$B$98/1000</f>
        <v>8.0208999999999993</v>
      </c>
      <c r="AT18" s="7">
        <f>IFERROR(_xlfn.XLOOKUP(Table13[[#This Row],[Date]],'Raw Data'!$G:$G,'Raw Data'!$AN:$AN),"")</f>
        <v>0</v>
      </c>
      <c r="AU18" s="7">
        <f>IFERROR(_xlfn.XLOOKUP(Table13[[#This Row],[Month Year]],'Modelling New'!$D:$D,'Modelling New'!$AO:$AO),"")</f>
        <v>8</v>
      </c>
      <c r="AV18" s="7">
        <f>SUMIF('Curtailment Records'!$C:$C,Table13[[#This Row],[Date]],'Curtailment Records'!$R:$R)/1000</f>
        <v>0</v>
      </c>
    </row>
    <row r="19" spans="1:48" x14ac:dyDescent="0.3">
      <c r="A19" s="100">
        <f t="shared" si="3"/>
        <v>45762</v>
      </c>
      <c r="B19" s="101">
        <f>YEAR(Table13[[#This Row],[Date]])+IF(MONTH(Table13[[#This Row],[Date]])&gt;=4,1,0)</f>
        <v>2026</v>
      </c>
      <c r="C19" s="7">
        <f>YEAR(Table13[[#This Row],[Date]])</f>
        <v>2025</v>
      </c>
      <c r="D19" s="102">
        <f>Table13[[#This Row],[Date]]-DAY(Table13[[#This Row],[Date]])+1</f>
        <v>45748</v>
      </c>
      <c r="E19" s="7">
        <f t="shared" si="0"/>
        <v>30</v>
      </c>
      <c r="F19" s="103">
        <f>IFERROR(_xlfn.XLOOKUP($A19,'Raw Data'!$G:$G,'Raw Data'!$AM:$AM),"")</f>
        <v>12.600000000000001</v>
      </c>
      <c r="G19" s="104">
        <f>IFERROR(_xlfn.XLOOKUP($A19,'Raw Data'!$G:$G,'Raw Data'!$AB:$AB),"")</f>
        <v>0</v>
      </c>
      <c r="H19" s="104"/>
      <c r="I19" s="104">
        <f>IFERROR(_xlfn.XLOOKUP($A19,'Raw Data'!$G:$G,'Raw Data'!$AC:$AC),"")</f>
        <v>5.28</v>
      </c>
      <c r="J19" s="104"/>
      <c r="K19" s="104">
        <f>IFERROR(_xlfn.XLOOKUP($A19,'Raw Data'!$G:$G,'Raw Data'!AD:AD),"")</f>
        <v>0</v>
      </c>
      <c r="L19" s="104">
        <f>IFERROR(_xlfn.XLOOKUP($A19,'Raw Data'!$G:$G,'Raw Data'!AE:AE),"")</f>
        <v>42.86</v>
      </c>
      <c r="M19" s="104">
        <f>IFERROR(_xlfn.XLOOKUP($A19,'Raw Data'!$G:$G,'Raw Data'!AF:AF),"")</f>
        <v>0</v>
      </c>
      <c r="N19" s="104">
        <f>IFERROR(_xlfn.XLOOKUP($A19,'Raw Data'!$G:$G,'Raw Data'!AG:AG),"")</f>
        <v>0</v>
      </c>
      <c r="O19" s="105">
        <f>IFERROR(1-SUMIF('Plant BD'!$B:$B,$A19,'Plant BD'!$AM:$AM)/($AA19+SUMIF('Plant BD'!$B:$B,$A19,'Plant BD'!$AM:$AM)),"")</f>
        <v>0.98809050890719852</v>
      </c>
      <c r="P19" s="105"/>
      <c r="Q19" s="106"/>
      <c r="R19" s="105">
        <f>IFERROR(1-SUMIF('Grid BD'!$B:$B,$A19,'Grid BD'!$AE:$AE)/($AA19+SUMIF('Grid BD'!$B:$B,$A19,'Grid BD'!$AE:$AE)),"")</f>
        <v>0.99522966940006541</v>
      </c>
      <c r="T19" s="106"/>
      <c r="U19" s="107">
        <f t="shared" si="1"/>
        <v>0.80046560179712278</v>
      </c>
      <c r="V19" s="107"/>
      <c r="W19" s="108">
        <f t="shared" si="2"/>
        <v>0.17610243239536699</v>
      </c>
      <c r="X19" s="101">
        <f>IFERROR(_xlfn.XLOOKUP($A19,'Raw Data'!$G:$G,'Raw Data'!AI:AI),"")</f>
        <v>34340</v>
      </c>
      <c r="Y19" s="101">
        <f>IFERROR(_xlfn.XLOOKUP($A19,'Raw Data'!$G:$G,'Raw Data'!AJ:AJ),"")</f>
        <v>34000</v>
      </c>
      <c r="Z19" s="101">
        <f>IFERROR(_xlfn.XLOOKUP($A19,'Raw Data'!$G:$G,'Raw Data'!AK:AK),"")</f>
        <v>100.00000000002274</v>
      </c>
      <c r="AA19" s="101">
        <f>IFERROR(_xlfn.XLOOKUP($A19,'Raw Data'!$G:$G,'Raw Data'!$AL:$AL)*(1+(_xlfn.XLOOKUP(Table13[[#This Row],[Month Year]],JMR!$A:$A,JMR!$J:$J))),"")</f>
        <v>33899.999999999978</v>
      </c>
      <c r="AB19" s="101">
        <f>IFERROR(_xlfn.XLOOKUP($A19,'Raw Data'!$G:$G,'Raw Data'!H:H),"")</f>
        <v>8.0208999999999993</v>
      </c>
      <c r="AC19" s="67">
        <f>IFERROR(_xlfn.XLOOKUP($D19,'Modelling New'!$D:$D,'Modelling New'!P:P),"")</f>
        <v>6.39</v>
      </c>
      <c r="AD19" s="101">
        <f>IFERROR(_xlfn.XLOOKUP($D19,'Modelling New'!$D:$D,'Modelling New'!$T:$T)*1000,"")</f>
        <v>34610.228394529106</v>
      </c>
      <c r="AE19" s="109">
        <f>IFERROR(_xlfn.XLOOKUP($D19,'Modelling New'!$D:$D,'Modelling New'!O:O),"")</f>
        <v>0.67527474134483101</v>
      </c>
      <c r="AF19" s="108">
        <f>IFERROR(_xlfn.XLOOKUP($D19,'Modelling New'!$D:$D,'Modelling New'!W:W),"")</f>
        <v>0.17979189988306124</v>
      </c>
      <c r="AG19" s="108">
        <f>IFERROR(_xlfn.XLOOKUP($D19,'Modelling New'!$D:$D,'Modelling New'!AE:AE),"")</f>
        <v>0.98040000000000005</v>
      </c>
      <c r="AH19" s="128">
        <f>IFERROR(_xlfn.XLOOKUP($D19,'Modelling New'!$D:$D,'Modelling New'!AF:AF),"")</f>
        <v>0.98</v>
      </c>
      <c r="AN19" s="105"/>
      <c r="AO19" s="108"/>
      <c r="AP19" s="108"/>
      <c r="AQ19" s="108"/>
      <c r="AR19" s="101">
        <f>'Basic Data'!$B$98/1000</f>
        <v>8.0208999999999993</v>
      </c>
      <c r="AT19" s="7">
        <f>IFERROR(_xlfn.XLOOKUP(Table13[[#This Row],[Date]],'Raw Data'!$G:$G,'Raw Data'!$AN:$AN),"")</f>
        <v>0</v>
      </c>
      <c r="AU19" s="7">
        <f>IFERROR(_xlfn.XLOOKUP(Table13[[#This Row],[Month Year]],'Modelling New'!$D:$D,'Modelling New'!$AO:$AO),"")</f>
        <v>8</v>
      </c>
      <c r="AV19" s="7">
        <f>SUMIF('Curtailment Records'!$C:$C,Table13[[#This Row],[Date]],'Curtailment Records'!$R:$R)/1000</f>
        <v>0</v>
      </c>
    </row>
    <row r="20" spans="1:48" x14ac:dyDescent="0.3">
      <c r="A20" s="100">
        <f t="shared" si="3"/>
        <v>45763</v>
      </c>
      <c r="B20" s="101">
        <f>YEAR(Table13[[#This Row],[Date]])+IF(MONTH(Table13[[#This Row],[Date]])&gt;=4,1,0)</f>
        <v>2026</v>
      </c>
      <c r="C20" s="7">
        <f>YEAR(Table13[[#This Row],[Date]])</f>
        <v>2025</v>
      </c>
      <c r="D20" s="102">
        <f>Table13[[#This Row],[Date]]-DAY(Table13[[#This Row],[Date]])+1</f>
        <v>45748</v>
      </c>
      <c r="E20" s="7">
        <f t="shared" si="0"/>
        <v>30</v>
      </c>
      <c r="F20" s="103">
        <f>IFERROR(_xlfn.XLOOKUP($A20,'Raw Data'!$G:$G,'Raw Data'!$AM:$AM),"")</f>
        <v>12.5</v>
      </c>
      <c r="G20" s="104">
        <f>IFERROR(_xlfn.XLOOKUP($A20,'Raw Data'!$G:$G,'Raw Data'!$AB:$AB),"")</f>
        <v>0</v>
      </c>
      <c r="H20" s="104"/>
      <c r="I20" s="104">
        <f>IFERROR(_xlfn.XLOOKUP($A20,'Raw Data'!$G:$G,'Raw Data'!$AC:$AC),"")</f>
        <v>5.92</v>
      </c>
      <c r="J20" s="104"/>
      <c r="K20" s="104">
        <f>IFERROR(_xlfn.XLOOKUP($A20,'Raw Data'!$G:$G,'Raw Data'!AD:AD),"")</f>
        <v>0</v>
      </c>
      <c r="L20" s="104">
        <f>IFERROR(_xlfn.XLOOKUP($A20,'Raw Data'!$G:$G,'Raw Data'!AE:AE),"")</f>
        <v>42.54</v>
      </c>
      <c r="M20" s="104">
        <f>IFERROR(_xlfn.XLOOKUP($A20,'Raw Data'!$G:$G,'Raw Data'!AF:AF),"")</f>
        <v>0</v>
      </c>
      <c r="N20" s="104">
        <f>IFERROR(_xlfn.XLOOKUP($A20,'Raw Data'!$G:$G,'Raw Data'!AG:AG),"")</f>
        <v>0</v>
      </c>
      <c r="O20" s="105">
        <f>IFERROR(1-SUMIF('Plant BD'!$B:$B,$A20,'Plant BD'!$AM:$AM)/($AA20+SUMIF('Plant BD'!$B:$B,$A20,'Plant BD'!$AM:$AM)),"")</f>
        <v>0.98361888655629426</v>
      </c>
      <c r="P20" s="105"/>
      <c r="Q20" s="106"/>
      <c r="R20" s="105">
        <f>IFERROR(1-SUMIF('Grid BD'!$B:$B,$A20,'Grid BD'!$AE:$AE)/($AA20+SUMIF('Grid BD'!$B:$B,$A20,'Grid BD'!$AE:$AE)),"")</f>
        <v>0.95276839563612026</v>
      </c>
      <c r="T20" s="106"/>
      <c r="U20" s="107">
        <f t="shared" si="1"/>
        <v>0.6212654575059019</v>
      </c>
      <c r="V20" s="107"/>
      <c r="W20" s="108">
        <f t="shared" si="2"/>
        <v>0.15324547951812242</v>
      </c>
      <c r="X20" s="101">
        <f>IFERROR(_xlfn.XLOOKUP($A20,'Raw Data'!$G:$G,'Raw Data'!AI:AI),"")</f>
        <v>29859.4</v>
      </c>
      <c r="Y20" s="101">
        <f>IFERROR(_xlfn.XLOOKUP($A20,'Raw Data'!$G:$G,'Raw Data'!AJ:AJ),"")</f>
        <v>29600.000000005821</v>
      </c>
      <c r="Z20" s="101">
        <f>IFERROR(_xlfn.XLOOKUP($A20,'Raw Data'!$G:$G,'Raw Data'!AK:AK),"")</f>
        <v>100.00000000002274</v>
      </c>
      <c r="AA20" s="101">
        <f>IFERROR(_xlfn.XLOOKUP($A20,'Raw Data'!$G:$G,'Raw Data'!$AL:$AL)*(1+(_xlfn.XLOOKUP(Table13[[#This Row],[Month Year]],JMR!$A:$A,JMR!$J:$J))),"")</f>
        <v>29500.000000005799</v>
      </c>
      <c r="AB20" s="101">
        <f>IFERROR(_xlfn.XLOOKUP($A20,'Raw Data'!$G:$G,'Raw Data'!H:H),"")</f>
        <v>8.0208999999999993</v>
      </c>
      <c r="AC20" s="67">
        <f>IFERROR(_xlfn.XLOOKUP($D20,'Modelling New'!$D:$D,'Modelling New'!P:P),"")</f>
        <v>6.39</v>
      </c>
      <c r="AD20" s="101">
        <f>IFERROR(_xlfn.XLOOKUP($D20,'Modelling New'!$D:$D,'Modelling New'!$T:$T)*1000,"")</f>
        <v>34610.228394529106</v>
      </c>
      <c r="AE20" s="109">
        <f>IFERROR(_xlfn.XLOOKUP($D20,'Modelling New'!$D:$D,'Modelling New'!O:O),"")</f>
        <v>0.67527474134483101</v>
      </c>
      <c r="AF20" s="108">
        <f>IFERROR(_xlfn.XLOOKUP($D20,'Modelling New'!$D:$D,'Modelling New'!W:W),"")</f>
        <v>0.17979189988306124</v>
      </c>
      <c r="AG20" s="108">
        <f>IFERROR(_xlfn.XLOOKUP($D20,'Modelling New'!$D:$D,'Modelling New'!AE:AE),"")</f>
        <v>0.98040000000000005</v>
      </c>
      <c r="AH20" s="128">
        <f>IFERROR(_xlfn.XLOOKUP($D20,'Modelling New'!$D:$D,'Modelling New'!AF:AF),"")</f>
        <v>0.98</v>
      </c>
      <c r="AN20" s="105"/>
      <c r="AO20" s="108"/>
      <c r="AP20" s="108"/>
      <c r="AQ20" s="108"/>
      <c r="AR20" s="101">
        <f>'Basic Data'!$B$98/1000</f>
        <v>8.0208999999999993</v>
      </c>
      <c r="AT20" s="7">
        <f>IFERROR(_xlfn.XLOOKUP(Table13[[#This Row],[Date]],'Raw Data'!$G:$G,'Raw Data'!$AN:$AN),"")</f>
        <v>0</v>
      </c>
      <c r="AU20" s="7">
        <f>IFERROR(_xlfn.XLOOKUP(Table13[[#This Row],[Month Year]],'Modelling New'!$D:$D,'Modelling New'!$AO:$AO),"")</f>
        <v>8</v>
      </c>
      <c r="AV20" s="7">
        <f>SUMIF('Curtailment Records'!$C:$C,Table13[[#This Row],[Date]],'Curtailment Records'!$R:$R)/1000</f>
        <v>0</v>
      </c>
    </row>
    <row r="21" spans="1:48" x14ac:dyDescent="0.3">
      <c r="A21" s="100">
        <f t="shared" si="3"/>
        <v>45764</v>
      </c>
      <c r="B21" s="101">
        <f>YEAR(Table13[[#This Row],[Date]])+IF(MONTH(Table13[[#This Row],[Date]])&gt;=4,1,0)</f>
        <v>2026</v>
      </c>
      <c r="C21" s="7">
        <f>YEAR(Table13[[#This Row],[Date]])</f>
        <v>2025</v>
      </c>
      <c r="D21" s="102">
        <f>Table13[[#This Row],[Date]]-DAY(Table13[[#This Row],[Date]])+1</f>
        <v>45748</v>
      </c>
      <c r="E21" s="7">
        <f t="shared" si="0"/>
        <v>30</v>
      </c>
      <c r="F21" s="103">
        <f>IFERROR(_xlfn.XLOOKUP($A21,'Raw Data'!$G:$G,'Raw Data'!$AM:$AM),"")</f>
        <v>12.5</v>
      </c>
      <c r="G21" s="104">
        <f>IFERROR(_xlfn.XLOOKUP($A21,'Raw Data'!$G:$G,'Raw Data'!$AB:$AB),"")</f>
        <v>0</v>
      </c>
      <c r="H21" s="104"/>
      <c r="I21" s="104">
        <f>IFERROR(_xlfn.XLOOKUP($A21,'Raw Data'!$G:$G,'Raw Data'!$AC:$AC),"")</f>
        <v>5.66</v>
      </c>
      <c r="J21" s="104"/>
      <c r="K21" s="104">
        <f>IFERROR(_xlfn.XLOOKUP($A21,'Raw Data'!$G:$G,'Raw Data'!AD:AD),"")</f>
        <v>0</v>
      </c>
      <c r="L21" s="104">
        <f>IFERROR(_xlfn.XLOOKUP($A21,'Raw Data'!$G:$G,'Raw Data'!AE:AE),"")</f>
        <v>43.35</v>
      </c>
      <c r="M21" s="104">
        <f>IFERROR(_xlfn.XLOOKUP($A21,'Raw Data'!$G:$G,'Raw Data'!AF:AF),"")</f>
        <v>0</v>
      </c>
      <c r="N21" s="104">
        <f>IFERROR(_xlfn.XLOOKUP($A21,'Raw Data'!$G:$G,'Raw Data'!AG:AG),"")</f>
        <v>0</v>
      </c>
      <c r="O21" s="105">
        <f>IFERROR(1-SUMIF('Plant BD'!$B:$B,$A21,'Plant BD'!$AM:$AM)/($AA21+SUMIF('Plant BD'!$B:$B,$A21,'Plant BD'!$AM:$AM)),"")</f>
        <v>1</v>
      </c>
      <c r="P21" s="105"/>
      <c r="Q21" s="106"/>
      <c r="R21" s="105">
        <f>IFERROR(1-SUMIF('Grid BD'!$B:$B,$A21,'Grid BD'!$AE:$AE)/($AA21+SUMIF('Grid BD'!$B:$B,$A21,'Grid BD'!$AE:$AE)),"")</f>
        <v>1</v>
      </c>
      <c r="T21" s="106"/>
      <c r="U21" s="107">
        <f t="shared" si="1"/>
        <v>0.78747452492358649</v>
      </c>
      <c r="V21" s="107"/>
      <c r="W21" s="108">
        <f t="shared" si="2"/>
        <v>0.18571274212781247</v>
      </c>
      <c r="X21" s="101">
        <f>IFERROR(_xlfn.XLOOKUP($A21,'Raw Data'!$G:$G,'Raw Data'!AI:AI),"")</f>
        <v>36154.400000000001</v>
      </c>
      <c r="Y21" s="101">
        <f>IFERROR(_xlfn.XLOOKUP($A21,'Raw Data'!$G:$G,'Raw Data'!AJ:AJ),"")</f>
        <v>35849.999999991269</v>
      </c>
      <c r="Z21" s="101">
        <f>IFERROR(_xlfn.XLOOKUP($A21,'Raw Data'!$G:$G,'Raw Data'!AK:AK),"")</f>
        <v>99.999999999965894</v>
      </c>
      <c r="AA21" s="101">
        <f>IFERROR(_xlfn.XLOOKUP($A21,'Raw Data'!$G:$G,'Raw Data'!$AL:$AL)*(1+(_xlfn.XLOOKUP(Table13[[#This Row],[Month Year]],JMR!$A:$A,JMR!$J:$J))),"")</f>
        <v>35749.999999991305</v>
      </c>
      <c r="AB21" s="101">
        <f>IFERROR(_xlfn.XLOOKUP($A21,'Raw Data'!$G:$G,'Raw Data'!H:H),"")</f>
        <v>8.0208999999999993</v>
      </c>
      <c r="AC21" s="67">
        <f>IFERROR(_xlfn.XLOOKUP($D21,'Modelling New'!$D:$D,'Modelling New'!P:P),"")</f>
        <v>6.39</v>
      </c>
      <c r="AD21" s="101">
        <f>IFERROR(_xlfn.XLOOKUP($D21,'Modelling New'!$D:$D,'Modelling New'!$T:$T)*1000,"")</f>
        <v>34610.228394529106</v>
      </c>
      <c r="AE21" s="109">
        <f>IFERROR(_xlfn.XLOOKUP($D21,'Modelling New'!$D:$D,'Modelling New'!O:O),"")</f>
        <v>0.67527474134483101</v>
      </c>
      <c r="AF21" s="108">
        <f>IFERROR(_xlfn.XLOOKUP($D21,'Modelling New'!$D:$D,'Modelling New'!W:W),"")</f>
        <v>0.17979189988306124</v>
      </c>
      <c r="AG21" s="108">
        <f>IFERROR(_xlfn.XLOOKUP($D21,'Modelling New'!$D:$D,'Modelling New'!AE:AE),"")</f>
        <v>0.98040000000000005</v>
      </c>
      <c r="AH21" s="128">
        <f>IFERROR(_xlfn.XLOOKUP($D21,'Modelling New'!$D:$D,'Modelling New'!AF:AF),"")</f>
        <v>0.98</v>
      </c>
      <c r="AN21" s="105"/>
      <c r="AO21" s="108"/>
      <c r="AP21" s="108"/>
      <c r="AQ21" s="108"/>
      <c r="AR21" s="101">
        <f>'Basic Data'!$B$98/1000</f>
        <v>8.0208999999999993</v>
      </c>
      <c r="AT21" s="7">
        <f>IFERROR(_xlfn.XLOOKUP(Table13[[#This Row],[Date]],'Raw Data'!$G:$G,'Raw Data'!$AN:$AN),"")</f>
        <v>0</v>
      </c>
      <c r="AU21" s="7">
        <f>IFERROR(_xlfn.XLOOKUP(Table13[[#This Row],[Month Year]],'Modelling New'!$D:$D,'Modelling New'!$AO:$AO),"")</f>
        <v>8</v>
      </c>
      <c r="AV21" s="7">
        <f>SUMIF('Curtailment Records'!$C:$C,Table13[[#This Row],[Date]],'Curtailment Records'!$R:$R)/1000</f>
        <v>0</v>
      </c>
    </row>
    <row r="22" spans="1:48" x14ac:dyDescent="0.3">
      <c r="A22" s="100">
        <f t="shared" si="3"/>
        <v>45765</v>
      </c>
      <c r="B22" s="101">
        <f>YEAR(Table13[[#This Row],[Date]])+IF(MONTH(Table13[[#This Row],[Date]])&gt;=4,1,0)</f>
        <v>2026</v>
      </c>
      <c r="C22" s="7">
        <f>YEAR(Table13[[#This Row],[Date]])</f>
        <v>2025</v>
      </c>
      <c r="D22" s="102">
        <f>Table13[[#This Row],[Date]]-DAY(Table13[[#This Row],[Date]])+1</f>
        <v>45748</v>
      </c>
      <c r="E22" s="7">
        <f t="shared" si="0"/>
        <v>30</v>
      </c>
      <c r="F22" s="103">
        <f>IFERROR(_xlfn.XLOOKUP($A22,'Raw Data'!$G:$G,'Raw Data'!$AM:$AM),"")</f>
        <v>12.516666666666667</v>
      </c>
      <c r="G22" s="104">
        <f>IFERROR(_xlfn.XLOOKUP($A22,'Raw Data'!$G:$G,'Raw Data'!$AB:$AB),"")</f>
        <v>0</v>
      </c>
      <c r="H22" s="104"/>
      <c r="I22" s="104">
        <f>IFERROR(_xlfn.XLOOKUP($A22,'Raw Data'!$G:$G,'Raw Data'!$AC:$AC),"")</f>
        <v>5.38</v>
      </c>
      <c r="J22" s="104"/>
      <c r="K22" s="104">
        <f>IFERROR(_xlfn.XLOOKUP($A22,'Raw Data'!$G:$G,'Raw Data'!AD:AD),"")</f>
        <v>0</v>
      </c>
      <c r="L22" s="104">
        <f>IFERROR(_xlfn.XLOOKUP($A22,'Raw Data'!$G:$G,'Raw Data'!AE:AE),"")</f>
        <v>43.02</v>
      </c>
      <c r="M22" s="104">
        <f>IFERROR(_xlfn.XLOOKUP($A22,'Raw Data'!$G:$G,'Raw Data'!AF:AF),"")</f>
        <v>0</v>
      </c>
      <c r="N22" s="104">
        <f>IFERROR(_xlfn.XLOOKUP($A22,'Raw Data'!$G:$G,'Raw Data'!AG:AG),"")</f>
        <v>0</v>
      </c>
      <c r="O22" s="105">
        <f>IFERROR(1-SUMIF('Plant BD'!$B:$B,$A22,'Plant BD'!$AM:$AM)/($AA22+SUMIF('Plant BD'!$B:$B,$A22,'Plant BD'!$AM:$AM)),"")</f>
        <v>1</v>
      </c>
      <c r="P22" s="105"/>
      <c r="Q22" s="106"/>
      <c r="R22" s="105">
        <f>IFERROR(1-SUMIF('Grid BD'!$B:$B,$A22,'Grid BD'!$AE:$AE)/($AA22+SUMIF('Grid BD'!$B:$B,$A22,'Grid BD'!$AE:$AE)),"")</f>
        <v>1</v>
      </c>
      <c r="T22" s="106"/>
      <c r="U22" s="107">
        <f t="shared" si="1"/>
        <v>0.62337144210749373</v>
      </c>
      <c r="V22" s="107"/>
      <c r="W22" s="108">
        <f t="shared" si="2"/>
        <v>0.13973909827242983</v>
      </c>
      <c r="X22" s="101">
        <f>IFERROR(_xlfn.XLOOKUP($A22,'Raw Data'!$G:$G,'Raw Data'!AI:AI),"")</f>
        <v>27239.5</v>
      </c>
      <c r="Y22" s="101">
        <f>IFERROR(_xlfn.XLOOKUP($A22,'Raw Data'!$G:$G,'Raw Data'!AJ:AJ),"")</f>
        <v>27000</v>
      </c>
      <c r="Z22" s="101">
        <f>IFERROR(_xlfn.XLOOKUP($A22,'Raw Data'!$G:$G,'Raw Data'!AK:AK),"")</f>
        <v>100.00000000002274</v>
      </c>
      <c r="AA22" s="101">
        <f>IFERROR(_xlfn.XLOOKUP($A22,'Raw Data'!$G:$G,'Raw Data'!$AL:$AL)*(1+(_xlfn.XLOOKUP(Table13[[#This Row],[Month Year]],JMR!$A:$A,JMR!$J:$J))),"")</f>
        <v>26899.999999999978</v>
      </c>
      <c r="AB22" s="101">
        <f>IFERROR(_xlfn.XLOOKUP($A22,'Raw Data'!$G:$G,'Raw Data'!H:H),"")</f>
        <v>8.0208999999999993</v>
      </c>
      <c r="AC22" s="67">
        <f>IFERROR(_xlfn.XLOOKUP($D22,'Modelling New'!$D:$D,'Modelling New'!P:P),"")</f>
        <v>6.39</v>
      </c>
      <c r="AD22" s="101">
        <f>IFERROR(_xlfn.XLOOKUP($D22,'Modelling New'!$D:$D,'Modelling New'!$T:$T)*1000,"")</f>
        <v>34610.228394529106</v>
      </c>
      <c r="AE22" s="109">
        <f>IFERROR(_xlfn.XLOOKUP($D22,'Modelling New'!$D:$D,'Modelling New'!O:O),"")</f>
        <v>0.67527474134483101</v>
      </c>
      <c r="AF22" s="108">
        <f>IFERROR(_xlfn.XLOOKUP($D22,'Modelling New'!$D:$D,'Modelling New'!W:W),"")</f>
        <v>0.17979189988306124</v>
      </c>
      <c r="AG22" s="108">
        <f>IFERROR(_xlfn.XLOOKUP($D22,'Modelling New'!$D:$D,'Modelling New'!AE:AE),"")</f>
        <v>0.98040000000000005</v>
      </c>
      <c r="AH22" s="128">
        <f>IFERROR(_xlfn.XLOOKUP($D22,'Modelling New'!$D:$D,'Modelling New'!AF:AF),"")</f>
        <v>0.98</v>
      </c>
      <c r="AN22" s="105"/>
      <c r="AO22" s="108"/>
      <c r="AP22" s="108"/>
      <c r="AQ22" s="108"/>
      <c r="AR22" s="101">
        <f>'Basic Data'!$B$98/1000</f>
        <v>8.0208999999999993</v>
      </c>
      <c r="AT22" s="7">
        <f>IFERROR(_xlfn.XLOOKUP(Table13[[#This Row],[Date]],'Raw Data'!$G:$G,'Raw Data'!$AN:$AN),"")</f>
        <v>0</v>
      </c>
      <c r="AU22" s="7">
        <f>IFERROR(_xlfn.XLOOKUP(Table13[[#This Row],[Month Year]],'Modelling New'!$D:$D,'Modelling New'!$AO:$AO),"")</f>
        <v>8</v>
      </c>
      <c r="AV22" s="7">
        <f>SUMIF('Curtailment Records'!$C:$C,Table13[[#This Row],[Date]],'Curtailment Records'!$R:$R)/1000</f>
        <v>0</v>
      </c>
    </row>
    <row r="23" spans="1:48" x14ac:dyDescent="0.3">
      <c r="A23" s="100">
        <f t="shared" si="3"/>
        <v>45766</v>
      </c>
      <c r="B23" s="101">
        <f>YEAR(Table13[[#This Row],[Date]])+IF(MONTH(Table13[[#This Row],[Date]])&gt;=4,1,0)</f>
        <v>2026</v>
      </c>
      <c r="C23" s="7">
        <f>YEAR(Table13[[#This Row],[Date]])</f>
        <v>2025</v>
      </c>
      <c r="D23" s="102">
        <f>Table13[[#This Row],[Date]]-DAY(Table13[[#This Row],[Date]])+1</f>
        <v>45748</v>
      </c>
      <c r="E23" s="7">
        <f t="shared" si="0"/>
        <v>30</v>
      </c>
      <c r="F23" s="103">
        <f>IFERROR(_xlfn.XLOOKUP($A23,'Raw Data'!$G:$G,'Raw Data'!$AM:$AM),"")</f>
        <v>12.416666666666668</v>
      </c>
      <c r="G23" s="104">
        <f>IFERROR(_xlfn.XLOOKUP($A23,'Raw Data'!$G:$G,'Raw Data'!$AB:$AB),"")</f>
        <v>0</v>
      </c>
      <c r="H23" s="104"/>
      <c r="I23" s="104">
        <f>IFERROR(_xlfn.XLOOKUP($A23,'Raw Data'!$G:$G,'Raw Data'!$AC:$AC),"")</f>
        <v>5.54</v>
      </c>
      <c r="J23" s="104"/>
      <c r="K23" s="104">
        <f>IFERROR(_xlfn.XLOOKUP($A23,'Raw Data'!$G:$G,'Raw Data'!AD:AD),"")</f>
        <v>0</v>
      </c>
      <c r="L23" s="104">
        <f>IFERROR(_xlfn.XLOOKUP($A23,'Raw Data'!$G:$G,'Raw Data'!AE:AE),"")</f>
        <v>43.31</v>
      </c>
      <c r="M23" s="104">
        <f>IFERROR(_xlfn.XLOOKUP($A23,'Raw Data'!$G:$G,'Raw Data'!AF:AF),"")</f>
        <v>0</v>
      </c>
      <c r="N23" s="104">
        <f>IFERROR(_xlfn.XLOOKUP($A23,'Raw Data'!$G:$G,'Raw Data'!AG:AG),"")</f>
        <v>0</v>
      </c>
      <c r="O23" s="105">
        <f>IFERROR(1-SUMIF('Plant BD'!$B:$B,$A23,'Plant BD'!$AM:$AM)/($AA23+SUMIF('Plant BD'!$B:$B,$A23,'Plant BD'!$AM:$AM)),"")</f>
        <v>1</v>
      </c>
      <c r="P23" s="105"/>
      <c r="Q23" s="106"/>
      <c r="R23" s="105">
        <f>IFERROR(1-SUMIF('Grid BD'!$B:$B,$A23,'Grid BD'!$AE:$AE)/($AA23+SUMIF('Grid BD'!$B:$B,$A23,'Grid BD'!$AE:$AE)),"")</f>
        <v>0.97201623414746474</v>
      </c>
      <c r="T23" s="106"/>
      <c r="U23" s="107">
        <f t="shared" si="1"/>
        <v>0.74939599358068676</v>
      </c>
      <c r="V23" s="107"/>
      <c r="W23" s="108">
        <f t="shared" si="2"/>
        <v>0.17298557518487517</v>
      </c>
      <c r="X23" s="101">
        <f>IFERROR(_xlfn.XLOOKUP($A23,'Raw Data'!$G:$G,'Raw Data'!AI:AI),"")</f>
        <v>33721.5</v>
      </c>
      <c r="Y23" s="101">
        <f>IFERROR(_xlfn.XLOOKUP($A23,'Raw Data'!$G:$G,'Raw Data'!AJ:AJ),"")</f>
        <v>33400.000000008731</v>
      </c>
      <c r="Z23" s="101">
        <f>IFERROR(_xlfn.XLOOKUP($A23,'Raw Data'!$G:$G,'Raw Data'!AK:AK),"")</f>
        <v>99.999999999965894</v>
      </c>
      <c r="AA23" s="101">
        <f>IFERROR(_xlfn.XLOOKUP($A23,'Raw Data'!$G:$G,'Raw Data'!$AL:$AL)*(1+(_xlfn.XLOOKUP(Table13[[#This Row],[Month Year]],JMR!$A:$A,JMR!$J:$J))),"")</f>
        <v>33300.000000008768</v>
      </c>
      <c r="AB23" s="101">
        <f>IFERROR(_xlfn.XLOOKUP($A23,'Raw Data'!$G:$G,'Raw Data'!H:H),"")</f>
        <v>8.0208999999999993</v>
      </c>
      <c r="AC23" s="67">
        <f>IFERROR(_xlfn.XLOOKUP($D23,'Modelling New'!$D:$D,'Modelling New'!P:P),"")</f>
        <v>6.39</v>
      </c>
      <c r="AD23" s="101">
        <f>IFERROR(_xlfn.XLOOKUP($D23,'Modelling New'!$D:$D,'Modelling New'!$T:$T)*1000,"")</f>
        <v>34610.228394529106</v>
      </c>
      <c r="AE23" s="109">
        <f>IFERROR(_xlfn.XLOOKUP($D23,'Modelling New'!$D:$D,'Modelling New'!O:O),"")</f>
        <v>0.67527474134483101</v>
      </c>
      <c r="AF23" s="108">
        <f>IFERROR(_xlfn.XLOOKUP($D23,'Modelling New'!$D:$D,'Modelling New'!W:W),"")</f>
        <v>0.17979189988306124</v>
      </c>
      <c r="AG23" s="108">
        <f>IFERROR(_xlfn.XLOOKUP($D23,'Modelling New'!$D:$D,'Modelling New'!AE:AE),"")</f>
        <v>0.98040000000000005</v>
      </c>
      <c r="AH23" s="128">
        <f>IFERROR(_xlfn.XLOOKUP($D23,'Modelling New'!$D:$D,'Modelling New'!AF:AF),"")</f>
        <v>0.98</v>
      </c>
      <c r="AN23" s="105"/>
      <c r="AO23" s="108"/>
      <c r="AP23" s="108"/>
      <c r="AQ23" s="108"/>
      <c r="AR23" s="101">
        <f>'Basic Data'!$B$98/1000</f>
        <v>8.0208999999999993</v>
      </c>
      <c r="AT23" s="7">
        <f>IFERROR(_xlfn.XLOOKUP(Table13[[#This Row],[Date]],'Raw Data'!$G:$G,'Raw Data'!$AN:$AN),"")</f>
        <v>0</v>
      </c>
      <c r="AU23" s="7">
        <f>IFERROR(_xlfn.XLOOKUP(Table13[[#This Row],[Month Year]],'Modelling New'!$D:$D,'Modelling New'!$AO:$AO),"")</f>
        <v>8</v>
      </c>
      <c r="AV23" s="7">
        <f>SUMIF('Curtailment Records'!$C:$C,Table13[[#This Row],[Date]],'Curtailment Records'!$R:$R)/1000</f>
        <v>0</v>
      </c>
    </row>
    <row r="24" spans="1:48" x14ac:dyDescent="0.3">
      <c r="A24" s="100">
        <f t="shared" si="3"/>
        <v>45767</v>
      </c>
      <c r="B24" s="101">
        <f>YEAR(Table13[[#This Row],[Date]])+IF(MONTH(Table13[[#This Row],[Date]])&gt;=4,1,0)</f>
        <v>2026</v>
      </c>
      <c r="C24" s="7">
        <f>YEAR(Table13[[#This Row],[Date]])</f>
        <v>2025</v>
      </c>
      <c r="D24" s="102">
        <f>Table13[[#This Row],[Date]]-DAY(Table13[[#This Row],[Date]])+1</f>
        <v>45748</v>
      </c>
      <c r="E24" s="7">
        <f t="shared" si="0"/>
        <v>30</v>
      </c>
      <c r="F24" s="103">
        <f>IFERROR(_xlfn.XLOOKUP($A24,'Raw Data'!$G:$G,'Raw Data'!$AM:$AM),"")</f>
        <v>12.5</v>
      </c>
      <c r="G24" s="104">
        <f>IFERROR(_xlfn.XLOOKUP($A24,'Raw Data'!$G:$G,'Raw Data'!$AB:$AB),"")</f>
        <v>0</v>
      </c>
      <c r="H24" s="104"/>
      <c r="I24" s="104">
        <f>IFERROR(_xlfn.XLOOKUP($A24,'Raw Data'!$G:$G,'Raw Data'!$AC:$AC),"")</f>
        <v>5.12</v>
      </c>
      <c r="J24" s="104"/>
      <c r="K24" s="104">
        <f>IFERROR(_xlfn.XLOOKUP($A24,'Raw Data'!$G:$G,'Raw Data'!AD:AD),"")</f>
        <v>0</v>
      </c>
      <c r="L24" s="104">
        <f>IFERROR(_xlfn.XLOOKUP($A24,'Raw Data'!$G:$G,'Raw Data'!AE:AE),"")</f>
        <v>45.39</v>
      </c>
      <c r="M24" s="104">
        <f>IFERROR(_xlfn.XLOOKUP($A24,'Raw Data'!$G:$G,'Raw Data'!AF:AF),"")</f>
        <v>0</v>
      </c>
      <c r="N24" s="104">
        <f>IFERROR(_xlfn.XLOOKUP($A24,'Raw Data'!$G:$G,'Raw Data'!AG:AG),"")</f>
        <v>0</v>
      </c>
      <c r="O24" s="105">
        <f>IFERROR(1-SUMIF('Plant BD'!$B:$B,$A24,'Plant BD'!$AM:$AM)/($AA24+SUMIF('Plant BD'!$B:$B,$A24,'Plant BD'!$AM:$AM)),"")</f>
        <v>1</v>
      </c>
      <c r="P24" s="105"/>
      <c r="Q24" s="106"/>
      <c r="R24" s="105">
        <f>IFERROR(1-SUMIF('Grid BD'!$B:$B,$A24,'Grid BD'!$AE:$AE)/($AA24+SUMIF('Grid BD'!$B:$B,$A24,'Grid BD'!$AE:$AE)),"")</f>
        <v>1</v>
      </c>
      <c r="T24" s="106"/>
      <c r="U24" s="107">
        <f>IFERROR(AA24/I24/AB24/1000,"")</f>
        <v>0.97767044533655778</v>
      </c>
      <c r="V24" s="107"/>
      <c r="W24" s="108">
        <f t="shared" si="2"/>
        <v>0.20856969500513231</v>
      </c>
      <c r="X24" s="101">
        <f>IFERROR(_xlfn.XLOOKUP($A24,'Raw Data'!$G:$G,'Raw Data'!AI:AI),"")</f>
        <v>40625.899999999994</v>
      </c>
      <c r="Y24" s="101">
        <f>IFERROR(_xlfn.XLOOKUP($A24,'Raw Data'!$G:$G,'Raw Data'!AJ:AJ),"")</f>
        <v>40250</v>
      </c>
      <c r="Z24" s="101">
        <f>IFERROR(_xlfn.XLOOKUP($A24,'Raw Data'!$G:$G,'Raw Data'!AK:AK),"")</f>
        <v>100.00000000002274</v>
      </c>
      <c r="AA24" s="101">
        <f>IFERROR(_xlfn.XLOOKUP($A24,'Raw Data'!$G:$G,'Raw Data'!$AL:$AL)*(1+(_xlfn.XLOOKUP(Table13[[#This Row],[Month Year]],JMR!$A:$A,JMR!$J:$J))),"")</f>
        <v>40149.999999999978</v>
      </c>
      <c r="AB24" s="101">
        <f>IFERROR(_xlfn.XLOOKUP($A24,'Raw Data'!$G:$G,'Raw Data'!H:H),"")</f>
        <v>8.0208999999999993</v>
      </c>
      <c r="AC24" s="67">
        <f>IFERROR(_xlfn.XLOOKUP($D24,'Modelling New'!$D:$D,'Modelling New'!P:P),"")</f>
        <v>6.39</v>
      </c>
      <c r="AD24" s="101">
        <f>IFERROR(_xlfn.XLOOKUP($D24,'Modelling New'!$D:$D,'Modelling New'!$T:$T)*1000,"")</f>
        <v>34610.228394529106</v>
      </c>
      <c r="AE24" s="109">
        <f>IFERROR(_xlfn.XLOOKUP($D24,'Modelling New'!$D:$D,'Modelling New'!O:O),"")</f>
        <v>0.67527474134483101</v>
      </c>
      <c r="AF24" s="108">
        <f>IFERROR(_xlfn.XLOOKUP($D24,'Modelling New'!$D:$D,'Modelling New'!W:W),"")</f>
        <v>0.17979189988306124</v>
      </c>
      <c r="AG24" s="108">
        <f>IFERROR(_xlfn.XLOOKUP($D24,'Modelling New'!$D:$D,'Modelling New'!AE:AE),"")</f>
        <v>0.98040000000000005</v>
      </c>
      <c r="AH24" s="128">
        <f>IFERROR(_xlfn.XLOOKUP($D24,'Modelling New'!$D:$D,'Modelling New'!AF:AF),"")</f>
        <v>0.98</v>
      </c>
      <c r="AN24" s="105"/>
      <c r="AO24" s="108"/>
      <c r="AP24" s="108"/>
      <c r="AQ24" s="108"/>
      <c r="AR24" s="101">
        <f>'Basic Data'!$B$98/1000</f>
        <v>8.0208999999999993</v>
      </c>
      <c r="AT24" s="7">
        <f>IFERROR(_xlfn.XLOOKUP(Table13[[#This Row],[Date]],'Raw Data'!$G:$G,'Raw Data'!$AN:$AN),"")</f>
        <v>0</v>
      </c>
      <c r="AU24" s="7">
        <f>IFERROR(_xlfn.XLOOKUP(Table13[[#This Row],[Month Year]],'Modelling New'!$D:$D,'Modelling New'!$AO:$AO),"")</f>
        <v>8</v>
      </c>
      <c r="AV24" s="7">
        <f>SUMIF('Curtailment Records'!$C:$C,Table13[[#This Row],[Date]],'Curtailment Records'!$R:$R)/1000</f>
        <v>0</v>
      </c>
    </row>
    <row r="25" spans="1:48" x14ac:dyDescent="0.3">
      <c r="A25" s="100">
        <f t="shared" si="3"/>
        <v>45768</v>
      </c>
      <c r="B25" s="101">
        <f>YEAR(Table13[[#This Row],[Date]])+IF(MONTH(Table13[[#This Row],[Date]])&gt;=4,1,0)</f>
        <v>2026</v>
      </c>
      <c r="C25" s="7">
        <f>YEAR(Table13[[#This Row],[Date]])</f>
        <v>2025</v>
      </c>
      <c r="D25" s="102">
        <f>Table13[[#This Row],[Date]]-DAY(Table13[[#This Row],[Date]])+1</f>
        <v>45748</v>
      </c>
      <c r="E25" s="7">
        <f t="shared" si="0"/>
        <v>30</v>
      </c>
      <c r="F25" s="103">
        <f>IFERROR(_xlfn.XLOOKUP($A25,'Raw Data'!$G:$G,'Raw Data'!$AM:$AM),"")</f>
        <v>12.450000000000001</v>
      </c>
      <c r="G25" s="104">
        <f>IFERROR(_xlfn.XLOOKUP($A25,'Raw Data'!$G:$G,'Raw Data'!$AB:$AB),"")</f>
        <v>0</v>
      </c>
      <c r="H25" s="104"/>
      <c r="I25" s="104">
        <f>IFERROR(_xlfn.XLOOKUP($A25,'Raw Data'!$G:$G,'Raw Data'!$AC:$AC),"")</f>
        <v>5.26</v>
      </c>
      <c r="J25" s="104"/>
      <c r="K25" s="104">
        <f>IFERROR(_xlfn.XLOOKUP($A25,'Raw Data'!$G:$G,'Raw Data'!AD:AD),"")</f>
        <v>0</v>
      </c>
      <c r="L25" s="104">
        <f>IFERROR(_xlfn.XLOOKUP($A25,'Raw Data'!$G:$G,'Raw Data'!AE:AE),"")</f>
        <v>43.8</v>
      </c>
      <c r="M25" s="104">
        <f>IFERROR(_xlfn.XLOOKUP($A25,'Raw Data'!$G:$G,'Raw Data'!AF:AF),"")</f>
        <v>0</v>
      </c>
      <c r="N25" s="104">
        <f>IFERROR(_xlfn.XLOOKUP($A25,'Raw Data'!$G:$G,'Raw Data'!AG:AG),"")</f>
        <v>0</v>
      </c>
      <c r="O25" s="105">
        <f>IFERROR(1-SUMIF('Plant BD'!$B:$B,$A25,'Plant BD'!$AM:$AM)/($AA25+SUMIF('Plant BD'!$B:$B,$A25,'Plant BD'!$AM:$AM)),"")</f>
        <v>1</v>
      </c>
      <c r="P25" s="105"/>
      <c r="Q25" s="106"/>
      <c r="R25" s="105">
        <f>IFERROR(1-SUMIF('Grid BD'!$B:$B,$A25,'Grid BD'!$AE:$AE)/($AA25+SUMIF('Grid BD'!$B:$B,$A25,'Grid BD'!$AE:$AE)),"")</f>
        <v>0.85746767407946589</v>
      </c>
      <c r="T25" s="106"/>
      <c r="U25" s="107">
        <f t="shared" si="1"/>
        <v>0.68736774985216254</v>
      </c>
      <c r="V25" s="107"/>
      <c r="W25" s="108">
        <f t="shared" si="2"/>
        <v>0.15064809850926561</v>
      </c>
      <c r="X25" s="101">
        <f>IFERROR(_xlfn.XLOOKUP($A25,'Raw Data'!$G:$G,'Raw Data'!AI:AI),"")</f>
        <v>29341.9</v>
      </c>
      <c r="Y25" s="101">
        <f>IFERROR(_xlfn.XLOOKUP($A25,'Raw Data'!$G:$G,'Raw Data'!AJ:AJ),"")</f>
        <v>29099.999999991269</v>
      </c>
      <c r="Z25" s="101">
        <f>IFERROR(_xlfn.XLOOKUP($A25,'Raw Data'!$G:$G,'Raw Data'!AK:AK),"")</f>
        <v>100.00000000002274</v>
      </c>
      <c r="AA25" s="101">
        <f>IFERROR(_xlfn.XLOOKUP($A25,'Raw Data'!$G:$G,'Raw Data'!$AL:$AL)*(1+(_xlfn.XLOOKUP(Table13[[#This Row],[Month Year]],JMR!$A:$A,JMR!$J:$J))),"")</f>
        <v>28999.999999991247</v>
      </c>
      <c r="AB25" s="101">
        <f>IFERROR(_xlfn.XLOOKUP($A25,'Raw Data'!$G:$G,'Raw Data'!H:H),"")</f>
        <v>8.0208999999999993</v>
      </c>
      <c r="AC25" s="67">
        <f>IFERROR(_xlfn.XLOOKUP($D25,'Modelling New'!$D:$D,'Modelling New'!P:P),"")</f>
        <v>6.39</v>
      </c>
      <c r="AD25" s="101">
        <f>IFERROR(_xlfn.XLOOKUP($D25,'Modelling New'!$D:$D,'Modelling New'!$T:$T)*1000,"")</f>
        <v>34610.228394529106</v>
      </c>
      <c r="AE25" s="109">
        <f>IFERROR(_xlfn.XLOOKUP($D25,'Modelling New'!$D:$D,'Modelling New'!O:O),"")</f>
        <v>0.67527474134483101</v>
      </c>
      <c r="AF25" s="108">
        <f>IFERROR(_xlfn.XLOOKUP($D25,'Modelling New'!$D:$D,'Modelling New'!W:W),"")</f>
        <v>0.17979189988306124</v>
      </c>
      <c r="AG25" s="108">
        <f>IFERROR(_xlfn.XLOOKUP($D25,'Modelling New'!$D:$D,'Modelling New'!AE:AE),"")</f>
        <v>0.98040000000000005</v>
      </c>
      <c r="AH25" s="128">
        <f>IFERROR(_xlfn.XLOOKUP($D25,'Modelling New'!$D:$D,'Modelling New'!AF:AF),"")</f>
        <v>0.98</v>
      </c>
      <c r="AN25" s="105"/>
      <c r="AO25" s="108"/>
      <c r="AP25" s="108"/>
      <c r="AQ25" s="108"/>
      <c r="AR25" s="101">
        <f>'Basic Data'!$B$98/1000</f>
        <v>8.0208999999999993</v>
      </c>
      <c r="AT25" s="7">
        <f>IFERROR(_xlfn.XLOOKUP(Table13[[#This Row],[Date]],'Raw Data'!$G:$G,'Raw Data'!$AN:$AN),"")</f>
        <v>0</v>
      </c>
      <c r="AU25" s="7">
        <f>IFERROR(_xlfn.XLOOKUP(Table13[[#This Row],[Month Year]],'Modelling New'!$D:$D,'Modelling New'!$AO:$AO),"")</f>
        <v>8</v>
      </c>
      <c r="AV25" s="7">
        <f>SUMIF('Curtailment Records'!$C:$C,Table13[[#This Row],[Date]],'Curtailment Records'!$R:$R)/1000</f>
        <v>0</v>
      </c>
    </row>
    <row r="26" spans="1:48" x14ac:dyDescent="0.3">
      <c r="A26" s="100">
        <f t="shared" si="3"/>
        <v>45769</v>
      </c>
      <c r="B26" s="101">
        <f>YEAR(Table13[[#This Row],[Date]])+IF(MONTH(Table13[[#This Row],[Date]])&gt;=4,1,0)</f>
        <v>2026</v>
      </c>
      <c r="C26" s="7">
        <f>YEAR(Table13[[#This Row],[Date]])</f>
        <v>2025</v>
      </c>
      <c r="D26" s="102">
        <f>Table13[[#This Row],[Date]]-DAY(Table13[[#This Row],[Date]])+1</f>
        <v>45748</v>
      </c>
      <c r="E26" s="7">
        <f t="shared" si="0"/>
        <v>30</v>
      </c>
      <c r="F26" s="103">
        <f>IFERROR(_xlfn.XLOOKUP($A26,'Raw Data'!$G:$G,'Raw Data'!$AM:$AM),"")</f>
        <v>12.5</v>
      </c>
      <c r="G26" s="104">
        <f>IFERROR(_xlfn.XLOOKUP($A26,'Raw Data'!$G:$G,'Raw Data'!$AB:$AB),"")</f>
        <v>0</v>
      </c>
      <c r="H26" s="104"/>
      <c r="I26" s="104">
        <f>IFERROR(_xlfn.XLOOKUP($A26,'Raw Data'!$G:$G,'Raw Data'!$AC:$AC),"")</f>
        <v>5.79</v>
      </c>
      <c r="J26" s="104"/>
      <c r="K26" s="104">
        <f>IFERROR(_xlfn.XLOOKUP($A26,'Raw Data'!$G:$G,'Raw Data'!AD:AD),"")</f>
        <v>0</v>
      </c>
      <c r="L26" s="104">
        <f>IFERROR(_xlfn.XLOOKUP($A26,'Raw Data'!$G:$G,'Raw Data'!AE:AE),"")</f>
        <v>46.12</v>
      </c>
      <c r="M26" s="104">
        <f>IFERROR(_xlfn.XLOOKUP($A26,'Raw Data'!$G:$G,'Raw Data'!AF:AF),"")</f>
        <v>0</v>
      </c>
      <c r="N26" s="104">
        <f>IFERROR(_xlfn.XLOOKUP($A26,'Raw Data'!$G:$G,'Raw Data'!AG:AG),"")</f>
        <v>0</v>
      </c>
      <c r="O26" s="105">
        <f>IFERROR(1-SUMIF('Plant BD'!$B:$B,$A26,'Plant BD'!$AM:$AM)/($AA26+SUMIF('Plant BD'!$B:$B,$A26,'Plant BD'!$AM:$AM)),"")</f>
        <v>1</v>
      </c>
      <c r="P26" s="105"/>
      <c r="Q26" s="106"/>
      <c r="R26" s="105">
        <f>IFERROR(1-SUMIF('Grid BD'!$B:$B,$A26,'Grid BD'!$AE:$AE)/($AA26+SUMIF('Grid BD'!$B:$B,$A26,'Grid BD'!$AE:$AE)),"")</f>
        <v>1</v>
      </c>
      <c r="T26" s="106"/>
      <c r="U26" s="107">
        <f t="shared" si="1"/>
        <v>0.7299582689963412</v>
      </c>
      <c r="V26" s="107"/>
      <c r="W26" s="108">
        <f t="shared" si="2"/>
        <v>0.1761024323953673</v>
      </c>
      <c r="X26" s="101">
        <f>IFERROR(_xlfn.XLOOKUP($A26,'Raw Data'!$G:$G,'Raw Data'!AI:AI),"")</f>
        <v>34331.300000000003</v>
      </c>
      <c r="Y26" s="101">
        <f>IFERROR(_xlfn.XLOOKUP($A26,'Raw Data'!$G:$G,'Raw Data'!AJ:AJ),"")</f>
        <v>34000</v>
      </c>
      <c r="Z26" s="101">
        <f>IFERROR(_xlfn.XLOOKUP($A26,'Raw Data'!$G:$G,'Raw Data'!AK:AK),"")</f>
        <v>99.999999999965894</v>
      </c>
      <c r="AA26" s="101">
        <f>IFERROR(_xlfn.XLOOKUP($A26,'Raw Data'!$G:$G,'Raw Data'!$AL:$AL)*(1+(_xlfn.XLOOKUP(Table13[[#This Row],[Month Year]],JMR!$A:$A,JMR!$J:$J))),"")</f>
        <v>33900.000000000036</v>
      </c>
      <c r="AB26" s="101">
        <f>IFERROR(_xlfn.XLOOKUP($A26,'Raw Data'!$G:$G,'Raw Data'!H:H),"")</f>
        <v>8.0208999999999993</v>
      </c>
      <c r="AC26" s="67">
        <f>IFERROR(_xlfn.XLOOKUP($D26,'Modelling New'!$D:$D,'Modelling New'!P:P),"")</f>
        <v>6.39</v>
      </c>
      <c r="AD26" s="101">
        <f>IFERROR(_xlfn.XLOOKUP($D26,'Modelling New'!$D:$D,'Modelling New'!$T:$T)*1000,"")</f>
        <v>34610.228394529106</v>
      </c>
      <c r="AE26" s="109">
        <f>IFERROR(_xlfn.XLOOKUP($D26,'Modelling New'!$D:$D,'Modelling New'!O:O),"")</f>
        <v>0.67527474134483101</v>
      </c>
      <c r="AF26" s="108">
        <f>IFERROR(_xlfn.XLOOKUP($D26,'Modelling New'!$D:$D,'Modelling New'!W:W),"")</f>
        <v>0.17979189988306124</v>
      </c>
      <c r="AG26" s="108">
        <f>IFERROR(_xlfn.XLOOKUP($D26,'Modelling New'!$D:$D,'Modelling New'!AE:AE),"")</f>
        <v>0.98040000000000005</v>
      </c>
      <c r="AH26" s="128">
        <f>IFERROR(_xlfn.XLOOKUP($D26,'Modelling New'!$D:$D,'Modelling New'!AF:AF),"")</f>
        <v>0.98</v>
      </c>
      <c r="AN26" s="105"/>
      <c r="AO26" s="108"/>
      <c r="AP26" s="108"/>
      <c r="AQ26" s="108"/>
      <c r="AR26" s="101">
        <f>'Basic Data'!$B$98/1000</f>
        <v>8.0208999999999993</v>
      </c>
      <c r="AT26" s="7">
        <f>IFERROR(_xlfn.XLOOKUP(Table13[[#This Row],[Date]],'Raw Data'!$G:$G,'Raw Data'!$AN:$AN),"")</f>
        <v>0</v>
      </c>
      <c r="AU26" s="7">
        <f>IFERROR(_xlfn.XLOOKUP(Table13[[#This Row],[Month Year]],'Modelling New'!$D:$D,'Modelling New'!$AO:$AO),"")</f>
        <v>8</v>
      </c>
      <c r="AV26" s="7">
        <f>SUMIF('Curtailment Records'!$C:$C,Table13[[#This Row],[Date]],'Curtailment Records'!$R:$R)/1000</f>
        <v>0</v>
      </c>
    </row>
    <row r="27" spans="1:48" x14ac:dyDescent="0.3">
      <c r="A27" s="100">
        <f t="shared" si="3"/>
        <v>45770</v>
      </c>
      <c r="B27" s="101">
        <f>YEAR(Table13[[#This Row],[Date]])+IF(MONTH(Table13[[#This Row],[Date]])&gt;=4,1,0)</f>
        <v>2026</v>
      </c>
      <c r="C27" s="7">
        <f>YEAR(Table13[[#This Row],[Date]])</f>
        <v>2025</v>
      </c>
      <c r="D27" s="102">
        <f>Table13[[#This Row],[Date]]-DAY(Table13[[#This Row],[Date]])+1</f>
        <v>45748</v>
      </c>
      <c r="E27" s="7">
        <f t="shared" si="0"/>
        <v>30</v>
      </c>
      <c r="F27" s="103">
        <f>IFERROR(_xlfn.XLOOKUP($A27,'Raw Data'!$G:$G,'Raw Data'!$AM:$AM),"")</f>
        <v>12.383333333333335</v>
      </c>
      <c r="G27" s="104">
        <f>IFERROR(_xlfn.XLOOKUP($A27,'Raw Data'!$G:$G,'Raw Data'!$AB:$AB),"")</f>
        <v>0</v>
      </c>
      <c r="H27" s="104"/>
      <c r="I27" s="104">
        <f>IFERROR(_xlfn.XLOOKUP($A27,'Raw Data'!$G:$G,'Raw Data'!$AC:$AC),"")</f>
        <v>5.92</v>
      </c>
      <c r="J27" s="104"/>
      <c r="K27" s="104">
        <f>IFERROR(_xlfn.XLOOKUP($A27,'Raw Data'!$G:$G,'Raw Data'!AD:AD),"")</f>
        <v>0</v>
      </c>
      <c r="L27" s="104">
        <f>IFERROR(_xlfn.XLOOKUP($A27,'Raw Data'!$G:$G,'Raw Data'!AE:AE),"")</f>
        <v>47.02</v>
      </c>
      <c r="M27" s="104">
        <f>IFERROR(_xlfn.XLOOKUP($A27,'Raw Data'!$G:$G,'Raw Data'!AF:AF),"")</f>
        <v>0</v>
      </c>
      <c r="N27" s="104">
        <f>IFERROR(_xlfn.XLOOKUP($A27,'Raw Data'!$G:$G,'Raw Data'!AG:AG),"")</f>
        <v>0</v>
      </c>
      <c r="O27" s="105">
        <f>IFERROR(1-SUMIF('Plant BD'!$B:$B,$A27,'Plant BD'!$AM:$AM)/($AA27+SUMIF('Plant BD'!$B:$B,$A27,'Plant BD'!$AM:$AM)),"")</f>
        <v>1</v>
      </c>
      <c r="P27" s="105"/>
      <c r="Q27" s="106"/>
      <c r="R27" s="105">
        <f>IFERROR(1-SUMIF('Grid BD'!$B:$B,$A27,'Grid BD'!$AE:$AE)/($AA27+SUMIF('Grid BD'!$B:$B,$A27,'Grid BD'!$AE:$AE)),"")</f>
        <v>1</v>
      </c>
      <c r="T27" s="106"/>
      <c r="U27" s="107">
        <f t="shared" si="1"/>
        <v>0.68655098015886784</v>
      </c>
      <c r="V27" s="107"/>
      <c r="W27" s="108">
        <f t="shared" si="2"/>
        <v>0.16934924177252067</v>
      </c>
      <c r="X27" s="101">
        <f>IFERROR(_xlfn.XLOOKUP($A27,'Raw Data'!$G:$G,'Raw Data'!AI:AI),"")</f>
        <v>33061.399999999994</v>
      </c>
      <c r="Y27" s="101">
        <f>IFERROR(_xlfn.XLOOKUP($A27,'Raw Data'!$G:$G,'Raw Data'!AJ:AJ),"")</f>
        <v>32699.99999999709</v>
      </c>
      <c r="Z27" s="101">
        <f>IFERROR(_xlfn.XLOOKUP($A27,'Raw Data'!$G:$G,'Raw Data'!AK:AK),"")</f>
        <v>100.00000000002274</v>
      </c>
      <c r="AA27" s="101">
        <f>IFERROR(_xlfn.XLOOKUP($A27,'Raw Data'!$G:$G,'Raw Data'!$AL:$AL)*(1+(_xlfn.XLOOKUP(Table13[[#This Row],[Month Year]],JMR!$A:$A,JMR!$J:$J))),"")</f>
        <v>32599.999999997068</v>
      </c>
      <c r="AB27" s="101">
        <f>IFERROR(_xlfn.XLOOKUP($A27,'Raw Data'!$G:$G,'Raw Data'!H:H),"")</f>
        <v>8.0208999999999993</v>
      </c>
      <c r="AC27" s="67">
        <f>IFERROR(_xlfn.XLOOKUP($D27,'Modelling New'!$D:$D,'Modelling New'!P:P),"")</f>
        <v>6.39</v>
      </c>
      <c r="AD27" s="101">
        <f>IFERROR(_xlfn.XLOOKUP($D27,'Modelling New'!$D:$D,'Modelling New'!$T:$T)*1000,"")</f>
        <v>34610.228394529106</v>
      </c>
      <c r="AE27" s="109">
        <f>IFERROR(_xlfn.XLOOKUP($D27,'Modelling New'!$D:$D,'Modelling New'!O:O),"")</f>
        <v>0.67527474134483101</v>
      </c>
      <c r="AF27" s="108">
        <f>IFERROR(_xlfn.XLOOKUP($D27,'Modelling New'!$D:$D,'Modelling New'!W:W),"")</f>
        <v>0.17979189988306124</v>
      </c>
      <c r="AG27" s="108">
        <f>IFERROR(_xlfn.XLOOKUP($D27,'Modelling New'!$D:$D,'Modelling New'!AE:AE),"")</f>
        <v>0.98040000000000005</v>
      </c>
      <c r="AH27" s="128">
        <f>IFERROR(_xlfn.XLOOKUP($D27,'Modelling New'!$D:$D,'Modelling New'!AF:AF),"")</f>
        <v>0.98</v>
      </c>
      <c r="AN27" s="105"/>
      <c r="AO27" s="108"/>
      <c r="AP27" s="108"/>
      <c r="AQ27" s="108"/>
      <c r="AR27" s="101">
        <f>'Basic Data'!$B$98/1000</f>
        <v>8.0208999999999993</v>
      </c>
      <c r="AT27" s="7">
        <f>IFERROR(_xlfn.XLOOKUP(Table13[[#This Row],[Date]],'Raw Data'!$G:$G,'Raw Data'!$AN:$AN),"")</f>
        <v>0</v>
      </c>
      <c r="AU27" s="7">
        <f>IFERROR(_xlfn.XLOOKUP(Table13[[#This Row],[Month Year]],'Modelling New'!$D:$D,'Modelling New'!$AO:$AO),"")</f>
        <v>8</v>
      </c>
      <c r="AV27" s="7">
        <f>SUMIF('Curtailment Records'!$C:$C,Table13[[#This Row],[Date]],'Curtailment Records'!$R:$R)/1000</f>
        <v>0</v>
      </c>
    </row>
    <row r="28" spans="1:48" x14ac:dyDescent="0.3">
      <c r="A28" s="100">
        <f t="shared" si="3"/>
        <v>45771</v>
      </c>
      <c r="B28" s="101">
        <f>YEAR(Table13[[#This Row],[Date]])+IF(MONTH(Table13[[#This Row],[Date]])&gt;=4,1,0)</f>
        <v>2026</v>
      </c>
      <c r="C28" s="7">
        <f>YEAR(Table13[[#This Row],[Date]])</f>
        <v>2025</v>
      </c>
      <c r="D28" s="102">
        <f>Table13[[#This Row],[Date]]-DAY(Table13[[#This Row],[Date]])+1</f>
        <v>45748</v>
      </c>
      <c r="E28" s="7">
        <f t="shared" si="0"/>
        <v>30</v>
      </c>
      <c r="F28" s="103">
        <f>IFERROR(_xlfn.XLOOKUP($A28,'Raw Data'!$G:$G,'Raw Data'!$AM:$AM),"")</f>
        <v>12.233333333333333</v>
      </c>
      <c r="G28" s="104">
        <f>IFERROR(_xlfn.XLOOKUP($A28,'Raw Data'!$G:$G,'Raw Data'!$AB:$AB),"")</f>
        <v>0</v>
      </c>
      <c r="H28" s="104"/>
      <c r="I28" s="104">
        <f>IFERROR(_xlfn.XLOOKUP($A28,'Raw Data'!$G:$G,'Raw Data'!$AC:$AC),"")</f>
        <v>5.6</v>
      </c>
      <c r="J28" s="104"/>
      <c r="K28" s="104">
        <f>IFERROR(_xlfn.XLOOKUP($A28,'Raw Data'!$G:$G,'Raw Data'!AD:AD),"")</f>
        <v>0</v>
      </c>
      <c r="L28" s="104">
        <f>IFERROR(_xlfn.XLOOKUP($A28,'Raw Data'!$G:$G,'Raw Data'!AE:AE),"")</f>
        <v>46.38</v>
      </c>
      <c r="M28" s="104">
        <f>IFERROR(_xlfn.XLOOKUP($A28,'Raw Data'!$G:$G,'Raw Data'!AF:AF),"")</f>
        <v>0</v>
      </c>
      <c r="N28" s="104">
        <f>IFERROR(_xlfn.XLOOKUP($A28,'Raw Data'!$G:$G,'Raw Data'!AG:AG),"")</f>
        <v>0</v>
      </c>
      <c r="O28" s="105">
        <f>IFERROR(1-SUMIF('Plant BD'!$B:$B,$A28,'Plant BD'!$AM:$AM)/($AA28+SUMIF('Plant BD'!$B:$B,$A28,'Plant BD'!$AM:$AM)),"")</f>
        <v>1</v>
      </c>
      <c r="P28" s="105"/>
      <c r="Q28" s="106"/>
      <c r="R28" s="105">
        <f>IFERROR(1-SUMIF('Grid BD'!$B:$B,$A28,'Grid BD'!$AE:$AE)/($AA28+SUMIF('Grid BD'!$B:$B,$A28,'Grid BD'!$AE:$AE)),"")</f>
        <v>0.98484593175090751</v>
      </c>
      <c r="T28" s="106"/>
      <c r="U28" s="107">
        <f t="shared" si="1"/>
        <v>0.78366695579234413</v>
      </c>
      <c r="V28" s="107"/>
      <c r="W28" s="108">
        <f t="shared" si="2"/>
        <v>0.18285562301821359</v>
      </c>
      <c r="X28" s="101">
        <f>IFERROR(_xlfn.XLOOKUP($A28,'Raw Data'!$G:$G,'Raw Data'!AI:AI),"")</f>
        <v>35600.400000000001</v>
      </c>
      <c r="Y28" s="101">
        <f>IFERROR(_xlfn.XLOOKUP($A28,'Raw Data'!$G:$G,'Raw Data'!AJ:AJ),"")</f>
        <v>35300.00000000291</v>
      </c>
      <c r="Z28" s="101">
        <f>IFERROR(_xlfn.XLOOKUP($A28,'Raw Data'!$G:$G,'Raw Data'!AK:AK),"")</f>
        <v>99.999999999965894</v>
      </c>
      <c r="AA28" s="101">
        <f>IFERROR(_xlfn.XLOOKUP($A28,'Raw Data'!$G:$G,'Raw Data'!$AL:$AL)*(1+(_xlfn.XLOOKUP(Table13[[#This Row],[Month Year]],JMR!$A:$A,JMR!$J:$J))),"")</f>
        <v>35200.000000002947</v>
      </c>
      <c r="AB28" s="101">
        <f>IFERROR(_xlfn.XLOOKUP($A28,'Raw Data'!$G:$G,'Raw Data'!H:H),"")</f>
        <v>8.0208999999999993</v>
      </c>
      <c r="AC28" s="67">
        <f>IFERROR(_xlfn.XLOOKUP($D28,'Modelling New'!$D:$D,'Modelling New'!P:P),"")</f>
        <v>6.39</v>
      </c>
      <c r="AD28" s="101">
        <f>IFERROR(_xlfn.XLOOKUP($D28,'Modelling New'!$D:$D,'Modelling New'!$T:$T)*1000,"")</f>
        <v>34610.228394529106</v>
      </c>
      <c r="AE28" s="109">
        <f>IFERROR(_xlfn.XLOOKUP($D28,'Modelling New'!$D:$D,'Modelling New'!O:O),"")</f>
        <v>0.67527474134483101</v>
      </c>
      <c r="AF28" s="108">
        <f>IFERROR(_xlfn.XLOOKUP($D28,'Modelling New'!$D:$D,'Modelling New'!W:W),"")</f>
        <v>0.17979189988306124</v>
      </c>
      <c r="AG28" s="108">
        <f>IFERROR(_xlfn.XLOOKUP($D28,'Modelling New'!$D:$D,'Modelling New'!AE:AE),"")</f>
        <v>0.98040000000000005</v>
      </c>
      <c r="AH28" s="128">
        <f>IFERROR(_xlfn.XLOOKUP($D28,'Modelling New'!$D:$D,'Modelling New'!AF:AF),"")</f>
        <v>0.98</v>
      </c>
      <c r="AN28" s="105"/>
      <c r="AO28" s="108"/>
      <c r="AP28" s="108"/>
      <c r="AQ28" s="108"/>
      <c r="AR28" s="101">
        <f>'Basic Data'!$B$98/1000</f>
        <v>8.0208999999999993</v>
      </c>
      <c r="AT28" s="7">
        <f>IFERROR(_xlfn.XLOOKUP(Table13[[#This Row],[Date]],'Raw Data'!$G:$G,'Raw Data'!$AN:$AN),"")</f>
        <v>0</v>
      </c>
      <c r="AU28" s="7">
        <f>IFERROR(_xlfn.XLOOKUP(Table13[[#This Row],[Month Year]],'Modelling New'!$D:$D,'Modelling New'!$AO:$AO),"")</f>
        <v>8</v>
      </c>
      <c r="AV28" s="7">
        <f>SUMIF('Curtailment Records'!$C:$C,Table13[[#This Row],[Date]],'Curtailment Records'!$R:$R)/1000</f>
        <v>0</v>
      </c>
    </row>
    <row r="29" spans="1:48" x14ac:dyDescent="0.3">
      <c r="A29" s="100">
        <f t="shared" si="3"/>
        <v>45772</v>
      </c>
      <c r="B29" s="101">
        <f>YEAR(Table13[[#This Row],[Date]])+IF(MONTH(Table13[[#This Row],[Date]])&gt;=4,1,0)</f>
        <v>2026</v>
      </c>
      <c r="C29" s="7">
        <f>YEAR(Table13[[#This Row],[Date]])</f>
        <v>2025</v>
      </c>
      <c r="D29" s="102">
        <f>Table13[[#This Row],[Date]]-DAY(Table13[[#This Row],[Date]])+1</f>
        <v>45748</v>
      </c>
      <c r="E29" s="7">
        <f t="shared" si="0"/>
        <v>30</v>
      </c>
      <c r="F29" s="103">
        <f>IFERROR(_xlfn.XLOOKUP($A29,'Raw Data'!$G:$G,'Raw Data'!$AM:$AM),"")</f>
        <v>12.083333333333332</v>
      </c>
      <c r="G29" s="104">
        <f>IFERROR(_xlfn.XLOOKUP($A29,'Raw Data'!$G:$G,'Raw Data'!$AB:$AB),"")</f>
        <v>0</v>
      </c>
      <c r="H29" s="104"/>
      <c r="I29" s="104">
        <f>IFERROR(_xlfn.XLOOKUP($A29,'Raw Data'!$G:$G,'Raw Data'!$AC:$AC),"")</f>
        <v>5.72</v>
      </c>
      <c r="J29" s="104"/>
      <c r="K29" s="104">
        <f>IFERROR(_xlfn.XLOOKUP($A29,'Raw Data'!$G:$G,'Raw Data'!AD:AD),"")</f>
        <v>0</v>
      </c>
      <c r="L29" s="104">
        <f>IFERROR(_xlfn.XLOOKUP($A29,'Raw Data'!$G:$G,'Raw Data'!AE:AE),"")</f>
        <v>46.34</v>
      </c>
      <c r="M29" s="104">
        <f>IFERROR(_xlfn.XLOOKUP($A29,'Raw Data'!$G:$G,'Raw Data'!AF:AF),"")</f>
        <v>0</v>
      </c>
      <c r="N29" s="104">
        <f>IFERROR(_xlfn.XLOOKUP($A29,'Raw Data'!$G:$G,'Raw Data'!AG:AG),"")</f>
        <v>0</v>
      </c>
      <c r="O29" s="105">
        <f>IFERROR(1-SUMIF('Plant BD'!$B:$B,$A29,'Plant BD'!$AM:$AM)/($AA29+SUMIF('Plant BD'!$B:$B,$A29,'Plant BD'!$AM:$AM)),"")</f>
        <v>1</v>
      </c>
      <c r="P29" s="105"/>
      <c r="Q29" s="106"/>
      <c r="R29" s="105">
        <f>IFERROR(1-SUMIF('Grid BD'!$B:$B,$A29,'Grid BD'!$AE:$AE)/($AA29+SUMIF('Grid BD'!$B:$B,$A29,'Grid BD'!$AE:$AE)),"")</f>
        <v>0.96218779325405912</v>
      </c>
      <c r="T29" s="106"/>
      <c r="U29" s="107">
        <f t="shared" si="1"/>
        <v>0.69093967534298495</v>
      </c>
      <c r="V29" s="107"/>
      <c r="W29" s="108">
        <f t="shared" si="2"/>
        <v>0.16467395595674472</v>
      </c>
      <c r="X29" s="101">
        <f>IFERROR(_xlfn.XLOOKUP($A29,'Raw Data'!$G:$G,'Raw Data'!AI:AI),"")</f>
        <v>32081</v>
      </c>
      <c r="Y29" s="101">
        <f>IFERROR(_xlfn.XLOOKUP($A29,'Raw Data'!$G:$G,'Raw Data'!AJ:AJ),"")</f>
        <v>31800.00000000291</v>
      </c>
      <c r="Z29" s="101">
        <f>IFERROR(_xlfn.XLOOKUP($A29,'Raw Data'!$G:$G,'Raw Data'!AK:AK),"")</f>
        <v>100.00000000002274</v>
      </c>
      <c r="AA29" s="101">
        <f>IFERROR(_xlfn.XLOOKUP($A29,'Raw Data'!$G:$G,'Raw Data'!$AL:$AL)*(1+(_xlfn.XLOOKUP(Table13[[#This Row],[Month Year]],JMR!$A:$A,JMR!$J:$J))),"")</f>
        <v>31700.000000002889</v>
      </c>
      <c r="AB29" s="101">
        <f>IFERROR(_xlfn.XLOOKUP($A29,'Raw Data'!$G:$G,'Raw Data'!H:H),"")</f>
        <v>8.0208999999999993</v>
      </c>
      <c r="AC29" s="67">
        <f>IFERROR(_xlfn.XLOOKUP($D29,'Modelling New'!$D:$D,'Modelling New'!P:P),"")</f>
        <v>6.39</v>
      </c>
      <c r="AD29" s="101">
        <f>IFERROR(_xlfn.XLOOKUP($D29,'Modelling New'!$D:$D,'Modelling New'!$T:$T)*1000,"")</f>
        <v>34610.228394529106</v>
      </c>
      <c r="AE29" s="109">
        <f>IFERROR(_xlfn.XLOOKUP($D29,'Modelling New'!$D:$D,'Modelling New'!O:O),"")</f>
        <v>0.67527474134483101</v>
      </c>
      <c r="AF29" s="108">
        <f>IFERROR(_xlfn.XLOOKUP($D29,'Modelling New'!$D:$D,'Modelling New'!W:W),"")</f>
        <v>0.17979189988306124</v>
      </c>
      <c r="AG29" s="108">
        <f>IFERROR(_xlfn.XLOOKUP($D29,'Modelling New'!$D:$D,'Modelling New'!AE:AE),"")</f>
        <v>0.98040000000000005</v>
      </c>
      <c r="AH29" s="128">
        <f>IFERROR(_xlfn.XLOOKUP($D29,'Modelling New'!$D:$D,'Modelling New'!AF:AF),"")</f>
        <v>0.98</v>
      </c>
      <c r="AN29" s="105"/>
      <c r="AO29" s="108"/>
      <c r="AP29" s="108"/>
      <c r="AQ29" s="108"/>
      <c r="AR29" s="101">
        <f>'Basic Data'!$B$98/1000</f>
        <v>8.0208999999999993</v>
      </c>
      <c r="AT29" s="7">
        <f>IFERROR(_xlfn.XLOOKUP(Table13[[#This Row],[Date]],'Raw Data'!$G:$G,'Raw Data'!$AN:$AN),"")</f>
        <v>0</v>
      </c>
      <c r="AU29" s="7">
        <f>IFERROR(_xlfn.XLOOKUP(Table13[[#This Row],[Month Year]],'Modelling New'!$D:$D,'Modelling New'!$AO:$AO),"")</f>
        <v>8</v>
      </c>
      <c r="AV29" s="7">
        <f>SUMIF('Curtailment Records'!$C:$C,Table13[[#This Row],[Date]],'Curtailment Records'!$R:$R)/1000</f>
        <v>0</v>
      </c>
    </row>
    <row r="30" spans="1:48" x14ac:dyDescent="0.3">
      <c r="A30" s="100">
        <f t="shared" si="3"/>
        <v>45773</v>
      </c>
      <c r="B30" s="101">
        <f>YEAR(Table13[[#This Row],[Date]])+IF(MONTH(Table13[[#This Row],[Date]])&gt;=4,1,0)</f>
        <v>2026</v>
      </c>
      <c r="C30" s="7">
        <f>YEAR(Table13[[#This Row],[Date]])</f>
        <v>2025</v>
      </c>
      <c r="D30" s="102">
        <f>Table13[[#This Row],[Date]]-DAY(Table13[[#This Row],[Date]])+1</f>
        <v>45748</v>
      </c>
      <c r="E30" s="7">
        <f t="shared" si="0"/>
        <v>30</v>
      </c>
      <c r="F30" s="103">
        <f>IFERROR(_xlfn.XLOOKUP($A30,'Raw Data'!$G:$G,'Raw Data'!$AM:$AM),"")</f>
        <v>12.416666666666668</v>
      </c>
      <c r="G30" s="104">
        <f>IFERROR(_xlfn.XLOOKUP($A30,'Raw Data'!$G:$G,'Raw Data'!$AB:$AB),"")</f>
        <v>0</v>
      </c>
      <c r="H30" s="104"/>
      <c r="I30" s="104">
        <f>IFERROR(_xlfn.XLOOKUP($A30,'Raw Data'!$G:$G,'Raw Data'!$AC:$AC),"")</f>
        <v>5.2</v>
      </c>
      <c r="J30" s="104"/>
      <c r="K30" s="104">
        <f>IFERROR(_xlfn.XLOOKUP($A30,'Raw Data'!$G:$G,'Raw Data'!AD:AD),"")</f>
        <v>0</v>
      </c>
      <c r="L30" s="104">
        <f>IFERROR(_xlfn.XLOOKUP($A30,'Raw Data'!$G:$G,'Raw Data'!AE:AE),"")</f>
        <v>45.56</v>
      </c>
      <c r="M30" s="104">
        <f>IFERROR(_xlfn.XLOOKUP($A30,'Raw Data'!$G:$G,'Raw Data'!AF:AF),"")</f>
        <v>0</v>
      </c>
      <c r="N30" s="104">
        <f>IFERROR(_xlfn.XLOOKUP($A30,'Raw Data'!$G:$G,'Raw Data'!AG:AG),"")</f>
        <v>0</v>
      </c>
      <c r="O30" s="105">
        <f>IFERROR(1-SUMIF('Plant BD'!$B:$B,$A30,'Plant BD'!$AM:$AM)/($AA30+SUMIF('Plant BD'!$B:$B,$A30,'Plant BD'!$AM:$AM)),"")</f>
        <v>1</v>
      </c>
      <c r="P30" s="105"/>
      <c r="Q30" s="106"/>
      <c r="R30" s="105">
        <f>IFERROR(1-SUMIF('Grid BD'!$B:$B,$A30,'Grid BD'!$AE:$AE)/($AA30+SUMIF('Grid BD'!$B:$B,$A30,'Grid BD'!$AE:$AE)),"")</f>
        <v>0.9941550576431355</v>
      </c>
      <c r="T30" s="106"/>
      <c r="U30" s="107">
        <f t="shared" si="1"/>
        <v>0.88350914006375103</v>
      </c>
      <c r="V30" s="107"/>
      <c r="W30" s="108">
        <f t="shared" si="2"/>
        <v>0.191426980347146</v>
      </c>
      <c r="X30" s="101">
        <f>IFERROR(_xlfn.XLOOKUP($A30,'Raw Data'!$G:$G,'Raw Data'!AI:AI),"")</f>
        <v>37233.199999999997</v>
      </c>
      <c r="Y30" s="101">
        <f>IFERROR(_xlfn.XLOOKUP($A30,'Raw Data'!$G:$G,'Raw Data'!AJ:AJ),"")</f>
        <v>36899.999999994179</v>
      </c>
      <c r="Z30" s="101">
        <f>IFERROR(_xlfn.XLOOKUP($A30,'Raw Data'!$G:$G,'Raw Data'!AK:AK),"")</f>
        <v>50.000000000011369</v>
      </c>
      <c r="AA30" s="101">
        <f>IFERROR(_xlfn.XLOOKUP($A30,'Raw Data'!$G:$G,'Raw Data'!$AL:$AL)*(1+(_xlfn.XLOOKUP(Table13[[#This Row],[Month Year]],JMR!$A:$A,JMR!$J:$J))),"")</f>
        <v>36849.999999994165</v>
      </c>
      <c r="AB30" s="101">
        <f>IFERROR(_xlfn.XLOOKUP($A30,'Raw Data'!$G:$G,'Raw Data'!H:H),"")</f>
        <v>8.0208999999999993</v>
      </c>
      <c r="AC30" s="67">
        <f>IFERROR(_xlfn.XLOOKUP($D30,'Modelling New'!$D:$D,'Modelling New'!P:P),"")</f>
        <v>6.39</v>
      </c>
      <c r="AD30" s="101">
        <f>IFERROR(_xlfn.XLOOKUP($D30,'Modelling New'!$D:$D,'Modelling New'!$T:$T)*1000,"")</f>
        <v>34610.228394529106</v>
      </c>
      <c r="AE30" s="109">
        <f>IFERROR(_xlfn.XLOOKUP($D30,'Modelling New'!$D:$D,'Modelling New'!O:O),"")</f>
        <v>0.67527474134483101</v>
      </c>
      <c r="AF30" s="108">
        <f>IFERROR(_xlfn.XLOOKUP($D30,'Modelling New'!$D:$D,'Modelling New'!W:W),"")</f>
        <v>0.17979189988306124</v>
      </c>
      <c r="AG30" s="108">
        <f>IFERROR(_xlfn.XLOOKUP($D30,'Modelling New'!$D:$D,'Modelling New'!AE:AE),"")</f>
        <v>0.98040000000000005</v>
      </c>
      <c r="AH30" s="128">
        <f>IFERROR(_xlfn.XLOOKUP($D30,'Modelling New'!$D:$D,'Modelling New'!AF:AF),"")</f>
        <v>0.98</v>
      </c>
      <c r="AN30" s="105"/>
      <c r="AO30" s="108"/>
      <c r="AP30" s="108"/>
      <c r="AQ30" s="108"/>
      <c r="AR30" s="101">
        <f>'Basic Data'!$B$98/1000</f>
        <v>8.0208999999999993</v>
      </c>
      <c r="AT30" s="7">
        <f>IFERROR(_xlfn.XLOOKUP(Table13[[#This Row],[Date]],'Raw Data'!$G:$G,'Raw Data'!$AN:$AN),"")</f>
        <v>0</v>
      </c>
      <c r="AU30" s="7">
        <f>IFERROR(_xlfn.XLOOKUP(Table13[[#This Row],[Month Year]],'Modelling New'!$D:$D,'Modelling New'!$AO:$AO),"")</f>
        <v>8</v>
      </c>
      <c r="AV30" s="7">
        <f>SUMIF('Curtailment Records'!$C:$C,Table13[[#This Row],[Date]],'Curtailment Records'!$R:$R)/1000</f>
        <v>0</v>
      </c>
    </row>
    <row r="31" spans="1:48" x14ac:dyDescent="0.3">
      <c r="A31" s="100">
        <f t="shared" si="3"/>
        <v>45774</v>
      </c>
      <c r="B31" s="101">
        <f>YEAR(Table13[[#This Row],[Date]])+IF(MONTH(Table13[[#This Row],[Date]])&gt;=4,1,0)</f>
        <v>2026</v>
      </c>
      <c r="C31" s="7">
        <f>YEAR(Table13[[#This Row],[Date]])</f>
        <v>2025</v>
      </c>
      <c r="D31" s="102">
        <f>Table13[[#This Row],[Date]]-DAY(Table13[[#This Row],[Date]])+1</f>
        <v>45748</v>
      </c>
      <c r="E31" s="7">
        <f t="shared" si="0"/>
        <v>30</v>
      </c>
      <c r="F31" s="103">
        <f>IFERROR(_xlfn.XLOOKUP($A31,'Raw Data'!$G:$G,'Raw Data'!$AM:$AM),"")</f>
        <v>12.55</v>
      </c>
      <c r="G31" s="104">
        <f>IFERROR(_xlfn.XLOOKUP($A31,'Raw Data'!$G:$G,'Raw Data'!$AB:$AB),"")</f>
        <v>0</v>
      </c>
      <c r="H31" s="104"/>
      <c r="I31" s="104">
        <f>IFERROR(_xlfn.XLOOKUP($A31,'Raw Data'!$G:$G,'Raw Data'!$AC:$AC),"")</f>
        <v>4.6900000000000004</v>
      </c>
      <c r="J31" s="104"/>
      <c r="K31" s="104">
        <f>IFERROR(_xlfn.XLOOKUP($A31,'Raw Data'!$G:$G,'Raw Data'!AD:AD),"")</f>
        <v>0</v>
      </c>
      <c r="L31" s="104">
        <f>IFERROR(_xlfn.XLOOKUP($A31,'Raw Data'!$G:$G,'Raw Data'!AE:AE),"")</f>
        <v>41.92</v>
      </c>
      <c r="M31" s="104">
        <f>IFERROR(_xlfn.XLOOKUP($A31,'Raw Data'!$G:$G,'Raw Data'!AF:AF),"")</f>
        <v>0</v>
      </c>
      <c r="N31" s="104">
        <f>IFERROR(_xlfn.XLOOKUP($A31,'Raw Data'!$G:$G,'Raw Data'!AG:AG),"")</f>
        <v>0</v>
      </c>
      <c r="O31" s="105">
        <f>IFERROR(1-SUMIF('Plant BD'!$B:$B,$A31,'Plant BD'!$AM:$AM)/($AA31+SUMIF('Plant BD'!$B:$B,$A31,'Plant BD'!$AM:$AM)),"")</f>
        <v>1</v>
      </c>
      <c r="P31" s="105"/>
      <c r="Q31" s="106"/>
      <c r="R31" s="105">
        <f>IFERROR(1-SUMIF('Grid BD'!$B:$B,$A31,'Grid BD'!$AE:$AE)/($AA31+SUMIF('Grid BD'!$B:$B,$A31,'Grid BD'!$AE:$AE)),"")</f>
        <v>1</v>
      </c>
      <c r="T31" s="106"/>
      <c r="U31" s="107">
        <f t="shared" si="1"/>
        <v>0.72571600722985308</v>
      </c>
      <c r="V31" s="107"/>
      <c r="W31" s="108">
        <f t="shared" si="2"/>
        <v>0.14181700307950046</v>
      </c>
      <c r="X31" s="101">
        <f>IFERROR(_xlfn.XLOOKUP($A31,'Raw Data'!$G:$G,'Raw Data'!AI:AI),"")</f>
        <v>27668.3</v>
      </c>
      <c r="Y31" s="101">
        <f>IFERROR(_xlfn.XLOOKUP($A31,'Raw Data'!$G:$G,'Raw Data'!AJ:AJ),"")</f>
        <v>27400.000000008731</v>
      </c>
      <c r="Z31" s="101">
        <f>IFERROR(_xlfn.XLOOKUP($A31,'Raw Data'!$G:$G,'Raw Data'!AK:AK),"")</f>
        <v>99.999999999965894</v>
      </c>
      <c r="AA31" s="101">
        <f>IFERROR(_xlfn.XLOOKUP($A31,'Raw Data'!$G:$G,'Raw Data'!$AL:$AL)*(1+(_xlfn.XLOOKUP(Table13[[#This Row],[Month Year]],JMR!$A:$A,JMR!$J:$J))),"")</f>
        <v>27300.000000008764</v>
      </c>
      <c r="AB31" s="101">
        <f>IFERROR(_xlfn.XLOOKUP($A31,'Raw Data'!$G:$G,'Raw Data'!H:H),"")</f>
        <v>8.0208999999999993</v>
      </c>
      <c r="AC31" s="67">
        <f>IFERROR(_xlfn.XLOOKUP($D31,'Modelling New'!$D:$D,'Modelling New'!P:P),"")</f>
        <v>6.39</v>
      </c>
      <c r="AD31" s="101">
        <f>IFERROR(_xlfn.XLOOKUP($D31,'Modelling New'!$D:$D,'Modelling New'!$T:$T)*1000,"")</f>
        <v>34610.228394529106</v>
      </c>
      <c r="AE31" s="109">
        <f>IFERROR(_xlfn.XLOOKUP($D31,'Modelling New'!$D:$D,'Modelling New'!O:O),"")</f>
        <v>0.67527474134483101</v>
      </c>
      <c r="AF31" s="108">
        <f>IFERROR(_xlfn.XLOOKUP($D31,'Modelling New'!$D:$D,'Modelling New'!W:W),"")</f>
        <v>0.17979189988306124</v>
      </c>
      <c r="AG31" s="108">
        <f>IFERROR(_xlfn.XLOOKUP($D31,'Modelling New'!$D:$D,'Modelling New'!AE:AE),"")</f>
        <v>0.98040000000000005</v>
      </c>
      <c r="AH31" s="128">
        <f>IFERROR(_xlfn.XLOOKUP($D31,'Modelling New'!$D:$D,'Modelling New'!AF:AF),"")</f>
        <v>0.98</v>
      </c>
      <c r="AN31" s="105"/>
      <c r="AO31" s="108"/>
      <c r="AP31" s="108"/>
      <c r="AQ31" s="108"/>
      <c r="AR31" s="101">
        <f>'Basic Data'!$B$98/1000</f>
        <v>8.0208999999999993</v>
      </c>
      <c r="AT31" s="7">
        <f>IFERROR(_xlfn.XLOOKUP(Table13[[#This Row],[Date]],'Raw Data'!$G:$G,'Raw Data'!$AN:$AN),"")</f>
        <v>0</v>
      </c>
      <c r="AU31" s="7">
        <f>IFERROR(_xlfn.XLOOKUP(Table13[[#This Row],[Month Year]],'Modelling New'!$D:$D,'Modelling New'!$AO:$AO),"")</f>
        <v>8</v>
      </c>
      <c r="AV31" s="7">
        <f>SUMIF('Curtailment Records'!$C:$C,Table13[[#This Row],[Date]],'Curtailment Records'!$R:$R)/1000</f>
        <v>0</v>
      </c>
    </row>
    <row r="32" spans="1:48" x14ac:dyDescent="0.3">
      <c r="A32" s="100">
        <f t="shared" si="3"/>
        <v>45775</v>
      </c>
      <c r="B32" s="101">
        <f>YEAR(Table13[[#This Row],[Date]])+IF(MONTH(Table13[[#This Row],[Date]])&gt;=4,1,0)</f>
        <v>2026</v>
      </c>
      <c r="C32" s="7">
        <f>YEAR(Table13[[#This Row],[Date]])</f>
        <v>2025</v>
      </c>
      <c r="D32" s="102">
        <f>Table13[[#This Row],[Date]]-DAY(Table13[[#This Row],[Date]])+1</f>
        <v>45748</v>
      </c>
      <c r="E32" s="7">
        <f t="shared" si="0"/>
        <v>30</v>
      </c>
      <c r="F32" s="103">
        <f>IFERROR(_xlfn.XLOOKUP($A32,'Raw Data'!$G:$G,'Raw Data'!$AM:$AM),"")</f>
        <v>12.633333333333333</v>
      </c>
      <c r="G32" s="104">
        <f>IFERROR(_xlfn.XLOOKUP($A32,'Raw Data'!$G:$G,'Raw Data'!$AB:$AB),"")</f>
        <v>0</v>
      </c>
      <c r="H32" s="104"/>
      <c r="I32" s="104">
        <f>IFERROR(_xlfn.XLOOKUP($A32,'Raw Data'!$G:$G,'Raw Data'!$AC:$AC),"")</f>
        <v>6.33</v>
      </c>
      <c r="J32" s="104"/>
      <c r="K32" s="104">
        <f>IFERROR(_xlfn.XLOOKUP($A32,'Raw Data'!$G:$G,'Raw Data'!AD:AD),"")</f>
        <v>0</v>
      </c>
      <c r="L32" s="104">
        <f>IFERROR(_xlfn.XLOOKUP($A32,'Raw Data'!$G:$G,'Raw Data'!AE:AE),"")</f>
        <v>44.84</v>
      </c>
      <c r="M32" s="104">
        <f>IFERROR(_xlfn.XLOOKUP($A32,'Raw Data'!$G:$G,'Raw Data'!AF:AF),"")</f>
        <v>0</v>
      </c>
      <c r="N32" s="104">
        <f>IFERROR(_xlfn.XLOOKUP($A32,'Raw Data'!$G:$G,'Raw Data'!AG:AG),"")</f>
        <v>0</v>
      </c>
      <c r="O32" s="105">
        <f>IFERROR(1-SUMIF('Plant BD'!$B:$B,$A32,'Plant BD'!$AM:$AM)/($AA32+SUMIF('Plant BD'!$B:$B,$A32,'Plant BD'!$AM:$AM)),"")</f>
        <v>1</v>
      </c>
      <c r="P32" s="105"/>
      <c r="Q32" s="106"/>
      <c r="R32" s="105">
        <f>IFERROR(1-SUMIF('Grid BD'!$B:$B,$A32,'Grid BD'!$AE:$AE)/($AA32+SUMIF('Grid BD'!$B:$B,$A32,'Grid BD'!$AE:$AE)),"")</f>
        <v>1</v>
      </c>
      <c r="T32" s="106"/>
      <c r="U32" s="107">
        <f t="shared" si="1"/>
        <v>0.79373994050326624</v>
      </c>
      <c r="V32" s="107"/>
      <c r="W32" s="108">
        <f t="shared" si="2"/>
        <v>0.20934890930773645</v>
      </c>
      <c r="X32" s="101">
        <f>IFERROR(_xlfn.XLOOKUP($A32,'Raw Data'!$G:$G,'Raw Data'!AI:AI),"")</f>
        <v>40735.300000000003</v>
      </c>
      <c r="Y32" s="101">
        <f>IFERROR(_xlfn.XLOOKUP($A32,'Raw Data'!$G:$G,'Raw Data'!AJ:AJ),"")</f>
        <v>40399.999999994179</v>
      </c>
      <c r="Z32" s="101">
        <f>IFERROR(_xlfn.XLOOKUP($A32,'Raw Data'!$G:$G,'Raw Data'!AK:AK),"")</f>
        <v>100.00000000002274</v>
      </c>
      <c r="AA32" s="101">
        <f>IFERROR(_xlfn.XLOOKUP($A32,'Raw Data'!$G:$G,'Raw Data'!$AL:$AL)*(1+(_xlfn.XLOOKUP(Table13[[#This Row],[Month Year]],JMR!$A:$A,JMR!$J:$J))),"")</f>
        <v>40299.999999994157</v>
      </c>
      <c r="AB32" s="101">
        <f>IFERROR(_xlfn.XLOOKUP($A32,'Raw Data'!$G:$G,'Raw Data'!H:H),"")</f>
        <v>8.0208999999999993</v>
      </c>
      <c r="AC32" s="67">
        <f>IFERROR(_xlfn.XLOOKUP($D32,'Modelling New'!$D:$D,'Modelling New'!P:P),"")</f>
        <v>6.39</v>
      </c>
      <c r="AD32" s="101">
        <f>IFERROR(_xlfn.XLOOKUP($D32,'Modelling New'!$D:$D,'Modelling New'!$T:$T)*1000,"")</f>
        <v>34610.228394529106</v>
      </c>
      <c r="AE32" s="109">
        <f>IFERROR(_xlfn.XLOOKUP($D32,'Modelling New'!$D:$D,'Modelling New'!O:O),"")</f>
        <v>0.67527474134483101</v>
      </c>
      <c r="AF32" s="108">
        <f>IFERROR(_xlfn.XLOOKUP($D32,'Modelling New'!$D:$D,'Modelling New'!W:W),"")</f>
        <v>0.17979189988306124</v>
      </c>
      <c r="AG32" s="108">
        <f>IFERROR(_xlfn.XLOOKUP($D32,'Modelling New'!$D:$D,'Modelling New'!AE:AE),"")</f>
        <v>0.98040000000000005</v>
      </c>
      <c r="AH32" s="128">
        <f>IFERROR(_xlfn.XLOOKUP($D32,'Modelling New'!$D:$D,'Modelling New'!AF:AF),"")</f>
        <v>0.98</v>
      </c>
      <c r="AN32" s="105"/>
      <c r="AO32" s="108"/>
      <c r="AP32" s="108"/>
      <c r="AQ32" s="108"/>
      <c r="AR32" s="101">
        <f>'Basic Data'!$B$98/1000</f>
        <v>8.0208999999999993</v>
      </c>
      <c r="AT32" s="7">
        <f>IFERROR(_xlfn.XLOOKUP(Table13[[#This Row],[Date]],'Raw Data'!$G:$G,'Raw Data'!$AN:$AN),"")</f>
        <v>0</v>
      </c>
      <c r="AU32" s="7">
        <f>IFERROR(_xlfn.XLOOKUP(Table13[[#This Row],[Month Year]],'Modelling New'!$D:$D,'Modelling New'!$AO:$AO),"")</f>
        <v>8</v>
      </c>
      <c r="AV32" s="7">
        <f>SUMIF('Curtailment Records'!$C:$C,Table13[[#This Row],[Date]],'Curtailment Records'!$R:$R)/1000</f>
        <v>0</v>
      </c>
    </row>
    <row r="33" spans="1:48" x14ac:dyDescent="0.3">
      <c r="A33" s="100">
        <f t="shared" si="3"/>
        <v>45776</v>
      </c>
      <c r="B33" s="101">
        <f>YEAR(Table13[[#This Row],[Date]])+IF(MONTH(Table13[[#This Row],[Date]])&gt;=4,1,0)</f>
        <v>2026</v>
      </c>
      <c r="C33" s="7">
        <f>YEAR(Table13[[#This Row],[Date]])</f>
        <v>2025</v>
      </c>
      <c r="D33" s="102">
        <f>Table13[[#This Row],[Date]]-DAY(Table13[[#This Row],[Date]])+1</f>
        <v>45748</v>
      </c>
      <c r="E33" s="7">
        <f t="shared" si="0"/>
        <v>30</v>
      </c>
      <c r="F33" s="103">
        <f>IFERROR(_xlfn.XLOOKUP($A33,'Raw Data'!$G:$G,'Raw Data'!$AM:$AM),"")</f>
        <v>12.600000000000001</v>
      </c>
      <c r="G33" s="104">
        <f>IFERROR(_xlfn.XLOOKUP($A33,'Raw Data'!$G:$G,'Raw Data'!$AB:$AB),"")</f>
        <v>0</v>
      </c>
      <c r="H33" s="104"/>
      <c r="I33" s="104">
        <f>IFERROR(_xlfn.XLOOKUP($A33,'Raw Data'!$G:$G,'Raw Data'!$AC:$AC),"")</f>
        <v>5.62</v>
      </c>
      <c r="J33" s="104"/>
      <c r="K33" s="104">
        <f>IFERROR(_xlfn.XLOOKUP($A33,'Raw Data'!$G:$G,'Raw Data'!AD:AD),"")</f>
        <v>0</v>
      </c>
      <c r="L33" s="104">
        <f>IFERROR(_xlfn.XLOOKUP($A33,'Raw Data'!$G:$G,'Raw Data'!AE:AE),"")</f>
        <v>44.35</v>
      </c>
      <c r="M33" s="104">
        <f>IFERROR(_xlfn.XLOOKUP($A33,'Raw Data'!$G:$G,'Raw Data'!AF:AF),"")</f>
        <v>0</v>
      </c>
      <c r="N33" s="104">
        <f>IFERROR(_xlfn.XLOOKUP($A33,'Raw Data'!$G:$G,'Raw Data'!AG:AG),"")</f>
        <v>0</v>
      </c>
      <c r="O33" s="105">
        <f>IFERROR(1-SUMIF('Plant BD'!$B:$B,$A33,'Plant BD'!$AM:$AM)/($AA33+SUMIF('Plant BD'!$B:$B,$A33,'Plant BD'!$AM:$AM)),"")</f>
        <v>0.99791127876342944</v>
      </c>
      <c r="P33" s="105"/>
      <c r="Q33" s="106"/>
      <c r="R33" s="105">
        <f>IFERROR(1-SUMIF('Grid BD'!$B:$B,$A33,'Grid BD'!$AE:$AE)/($AA33+SUMIF('Grid BD'!$B:$B,$A33,'Grid BD'!$AE:$AE)),"")</f>
        <v>1</v>
      </c>
      <c r="T33" s="106"/>
      <c r="U33" s="107">
        <f t="shared" si="1"/>
        <v>0.75314805905876259</v>
      </c>
      <c r="V33" s="107"/>
      <c r="W33" s="108">
        <f t="shared" si="2"/>
        <v>0.17636217049626024</v>
      </c>
      <c r="X33" s="101">
        <f>IFERROR(_xlfn.XLOOKUP($A33,'Raw Data'!$G:$G,'Raw Data'!AI:AI),"")</f>
        <v>34322.399999999994</v>
      </c>
      <c r="Y33" s="101">
        <f>IFERROR(_xlfn.XLOOKUP($A33,'Raw Data'!$G:$G,'Raw Data'!AJ:AJ),"")</f>
        <v>34050.00000000291</v>
      </c>
      <c r="Z33" s="101">
        <f>IFERROR(_xlfn.XLOOKUP($A33,'Raw Data'!$G:$G,'Raw Data'!AK:AK),"")</f>
        <v>100.00000000002274</v>
      </c>
      <c r="AA33" s="101">
        <f>IFERROR(_xlfn.XLOOKUP($A33,'Raw Data'!$G:$G,'Raw Data'!$AL:$AL)*(1+(_xlfn.XLOOKUP(Table13[[#This Row],[Month Year]],JMR!$A:$A,JMR!$J:$J))),"")</f>
        <v>33950.000000002889</v>
      </c>
      <c r="AB33" s="101">
        <f>IFERROR(_xlfn.XLOOKUP($A33,'Raw Data'!$G:$G,'Raw Data'!H:H),"")</f>
        <v>8.0208999999999993</v>
      </c>
      <c r="AC33" s="67">
        <f>IFERROR(_xlfn.XLOOKUP($D33,'Modelling New'!$D:$D,'Modelling New'!P:P),"")</f>
        <v>6.39</v>
      </c>
      <c r="AD33" s="101">
        <f>IFERROR(_xlfn.XLOOKUP($D33,'Modelling New'!$D:$D,'Modelling New'!$T:$T)*1000,"")</f>
        <v>34610.228394529106</v>
      </c>
      <c r="AE33" s="109">
        <f>IFERROR(_xlfn.XLOOKUP($D33,'Modelling New'!$D:$D,'Modelling New'!O:O),"")</f>
        <v>0.67527474134483101</v>
      </c>
      <c r="AF33" s="108">
        <f>IFERROR(_xlfn.XLOOKUP($D33,'Modelling New'!$D:$D,'Modelling New'!W:W),"")</f>
        <v>0.17979189988306124</v>
      </c>
      <c r="AG33" s="108">
        <f>IFERROR(_xlfn.XLOOKUP($D33,'Modelling New'!$D:$D,'Modelling New'!AE:AE),"")</f>
        <v>0.98040000000000005</v>
      </c>
      <c r="AH33" s="128">
        <f>IFERROR(_xlfn.XLOOKUP($D33,'Modelling New'!$D:$D,'Modelling New'!AF:AF),"")</f>
        <v>0.98</v>
      </c>
      <c r="AN33" s="105"/>
      <c r="AO33" s="108"/>
      <c r="AP33" s="108"/>
      <c r="AQ33" s="108"/>
      <c r="AR33" s="101">
        <f>'Basic Data'!$B$98/1000</f>
        <v>8.0208999999999993</v>
      </c>
      <c r="AT33" s="7">
        <f>IFERROR(_xlfn.XLOOKUP(Table13[[#This Row],[Date]],'Raw Data'!$G:$G,'Raw Data'!$AN:$AN),"")</f>
        <v>0</v>
      </c>
      <c r="AU33" s="7">
        <f>IFERROR(_xlfn.XLOOKUP(Table13[[#This Row],[Month Year]],'Modelling New'!$D:$D,'Modelling New'!$AO:$AO),"")</f>
        <v>8</v>
      </c>
      <c r="AV33" s="7">
        <f>SUMIF('Curtailment Records'!$C:$C,Table13[[#This Row],[Date]],'Curtailment Records'!$R:$R)/1000</f>
        <v>0</v>
      </c>
    </row>
    <row r="34" spans="1:48" x14ac:dyDescent="0.3">
      <c r="A34" s="100">
        <f t="shared" si="3"/>
        <v>45777</v>
      </c>
      <c r="B34" s="101">
        <f>YEAR(Table13[[#This Row],[Date]])+IF(MONTH(Table13[[#This Row],[Date]])&gt;=4,1,0)</f>
        <v>2026</v>
      </c>
      <c r="C34" s="7">
        <f>YEAR(Table13[[#This Row],[Date]])</f>
        <v>2025</v>
      </c>
      <c r="D34" s="102">
        <f>Table13[[#This Row],[Date]]-DAY(Table13[[#This Row],[Date]])+1</f>
        <v>45748</v>
      </c>
      <c r="E34" s="7">
        <f t="shared" si="0"/>
        <v>30</v>
      </c>
      <c r="F34" s="103">
        <f>IFERROR(_xlfn.XLOOKUP($A34,'Raw Data'!$G:$G,'Raw Data'!$AM:$AM),"")</f>
        <v>12.600000000000001</v>
      </c>
      <c r="G34" s="104">
        <f>IFERROR(_xlfn.XLOOKUP($A34,'Raw Data'!$G:$G,'Raw Data'!$AB:$AB),"")</f>
        <v>0</v>
      </c>
      <c r="H34" s="104"/>
      <c r="I34" s="104">
        <f>IFERROR(_xlfn.XLOOKUP($A34,'Raw Data'!$G:$G,'Raw Data'!$AC:$AC),"")</f>
        <v>5.77</v>
      </c>
      <c r="J34" s="104"/>
      <c r="K34" s="104">
        <f>IFERROR(_xlfn.XLOOKUP($A34,'Raw Data'!$G:$G,'Raw Data'!AD:AD),"")</f>
        <v>0</v>
      </c>
      <c r="L34" s="104">
        <f>IFERROR(_xlfn.XLOOKUP($A34,'Raw Data'!$G:$G,'Raw Data'!AE:AE),"")</f>
        <v>46.33</v>
      </c>
      <c r="M34" s="104">
        <f>IFERROR(_xlfn.XLOOKUP($A34,'Raw Data'!$G:$G,'Raw Data'!AF:AF),"")</f>
        <v>0</v>
      </c>
      <c r="N34" s="104">
        <f>IFERROR(_xlfn.XLOOKUP($A34,'Raw Data'!$G:$G,'Raw Data'!AG:AG),"")</f>
        <v>0</v>
      </c>
      <c r="O34" s="105">
        <f>IFERROR(1-SUMIF('Plant BD'!$B:$B,$A34,'Plant BD'!$AM:$AM)/($AA34+SUMIF('Plant BD'!$B:$B,$A34,'Plant BD'!$AM:$AM)),"")</f>
        <v>1</v>
      </c>
      <c r="P34" s="105"/>
      <c r="Q34" s="106"/>
      <c r="R34" s="105">
        <f>IFERROR(1-SUMIF('Grid BD'!$B:$B,$A34,'Grid BD'!$AE:$AE)/($AA34+SUMIF('Grid BD'!$B:$B,$A34,'Grid BD'!$AE:$AE)),"")</f>
        <v>1</v>
      </c>
      <c r="T34" s="106"/>
      <c r="U34" s="107">
        <f t="shared" si="1"/>
        <v>0.85673059547875796</v>
      </c>
      <c r="V34" s="107"/>
      <c r="W34" s="108">
        <f t="shared" si="2"/>
        <v>0.20597231399635138</v>
      </c>
      <c r="X34" s="101">
        <f>IFERROR(_xlfn.XLOOKUP($A34,'Raw Data'!$G:$G,'Raw Data'!AI:AI),"")</f>
        <v>40093.5</v>
      </c>
      <c r="Y34" s="101">
        <f>IFERROR(_xlfn.XLOOKUP($A34,'Raw Data'!$G:$G,'Raw Data'!AJ:AJ),"")</f>
        <v>39750</v>
      </c>
      <c r="Z34" s="101">
        <f>IFERROR(_xlfn.XLOOKUP($A34,'Raw Data'!$G:$G,'Raw Data'!AK:AK),"")</f>
        <v>99.999999999965894</v>
      </c>
      <c r="AA34" s="101">
        <f>IFERROR(_xlfn.XLOOKUP($A34,'Raw Data'!$G:$G,'Raw Data'!$AL:$AL)*(1+(_xlfn.XLOOKUP(Table13[[#This Row],[Month Year]],JMR!$A:$A,JMR!$J:$J))),"")</f>
        <v>39650.000000000036</v>
      </c>
      <c r="AB34" s="101">
        <f>IFERROR(_xlfn.XLOOKUP($A34,'Raw Data'!$G:$G,'Raw Data'!H:H),"")</f>
        <v>8.0208999999999993</v>
      </c>
      <c r="AC34" s="67">
        <f>IFERROR(_xlfn.XLOOKUP($D34,'Modelling New'!$D:$D,'Modelling New'!P:P),"")</f>
        <v>6.39</v>
      </c>
      <c r="AD34" s="101">
        <f>IFERROR(_xlfn.XLOOKUP($D34,'Modelling New'!$D:$D,'Modelling New'!$T:$T)*1000,"")</f>
        <v>34610.228394529106</v>
      </c>
      <c r="AE34" s="109">
        <f>IFERROR(_xlfn.XLOOKUP($D34,'Modelling New'!$D:$D,'Modelling New'!O:O),"")</f>
        <v>0.67527474134483101</v>
      </c>
      <c r="AF34" s="108">
        <f>IFERROR(_xlfn.XLOOKUP($D34,'Modelling New'!$D:$D,'Modelling New'!W:W),"")</f>
        <v>0.17979189988306124</v>
      </c>
      <c r="AG34" s="108">
        <f>IFERROR(_xlfn.XLOOKUP($D34,'Modelling New'!$D:$D,'Modelling New'!AE:AE),"")</f>
        <v>0.98040000000000005</v>
      </c>
      <c r="AH34" s="128">
        <f>IFERROR(_xlfn.XLOOKUP($D34,'Modelling New'!$D:$D,'Modelling New'!AF:AF),"")</f>
        <v>0.98</v>
      </c>
      <c r="AN34" s="105"/>
      <c r="AO34" s="108"/>
      <c r="AP34" s="108"/>
      <c r="AQ34" s="108"/>
      <c r="AR34" s="101">
        <f>'Basic Data'!$B$98/1000</f>
        <v>8.0208999999999993</v>
      </c>
      <c r="AT34" s="7">
        <f>IFERROR(_xlfn.XLOOKUP(Table13[[#This Row],[Date]],'Raw Data'!$G:$G,'Raw Data'!$AN:$AN),"")</f>
        <v>0</v>
      </c>
      <c r="AU34" s="7">
        <f>IFERROR(_xlfn.XLOOKUP(Table13[[#This Row],[Month Year]],'Modelling New'!$D:$D,'Modelling New'!$AO:$AO),"")</f>
        <v>8</v>
      </c>
      <c r="AV34" s="7">
        <f>SUMIF('Curtailment Records'!$C:$C,Table13[[#This Row],[Date]],'Curtailment Records'!$R:$R)/1000</f>
        <v>0</v>
      </c>
    </row>
    <row r="35" spans="1:48" x14ac:dyDescent="0.3">
      <c r="A35" s="100">
        <f t="shared" si="3"/>
        <v>45778</v>
      </c>
      <c r="B35" s="101">
        <f>YEAR(Table13[[#This Row],[Date]])+IF(MONTH(Table13[[#This Row],[Date]])&gt;=4,1,0)</f>
        <v>2026</v>
      </c>
      <c r="C35" s="7">
        <f>YEAR(Table13[[#This Row],[Date]])</f>
        <v>2025</v>
      </c>
      <c r="D35" s="102">
        <f>Table13[[#This Row],[Date]]-DAY(Table13[[#This Row],[Date]])+1</f>
        <v>45778</v>
      </c>
      <c r="E35" s="7">
        <f t="shared" si="0"/>
        <v>31</v>
      </c>
      <c r="F35" s="103">
        <f>IFERROR(_xlfn.XLOOKUP($A35,'Raw Data'!$G:$G,'Raw Data'!$AM:$AM),"")</f>
        <v>12.633333333333333</v>
      </c>
      <c r="G35" s="104">
        <f>IFERROR(_xlfn.XLOOKUP($A35,'Raw Data'!$G:$G,'Raw Data'!$AB:$AB),"")</f>
        <v>0</v>
      </c>
      <c r="H35" s="104"/>
      <c r="I35" s="104">
        <f>IFERROR(_xlfn.XLOOKUP($A35,'Raw Data'!$G:$G,'Raw Data'!$AC:$AC),"")</f>
        <v>5.52</v>
      </c>
      <c r="J35" s="104"/>
      <c r="K35" s="104">
        <f>IFERROR(_xlfn.XLOOKUP($A35,'Raw Data'!$G:$G,'Raw Data'!AD:AD),"")</f>
        <v>0</v>
      </c>
      <c r="L35" s="104">
        <f>IFERROR(_xlfn.XLOOKUP($A35,'Raw Data'!$G:$G,'Raw Data'!AE:AE),"")</f>
        <v>45.19</v>
      </c>
      <c r="M35" s="104">
        <f>IFERROR(_xlfn.XLOOKUP($A35,'Raw Data'!$G:$G,'Raw Data'!AF:AF),"")</f>
        <v>0</v>
      </c>
      <c r="N35" s="104">
        <f>IFERROR(_xlfn.XLOOKUP($A35,'Raw Data'!$G:$G,'Raw Data'!AG:AG),"")</f>
        <v>0</v>
      </c>
      <c r="O35" s="105">
        <f>IFERROR(1-SUMIF('Plant BD'!$B:$B,$A35,'Plant BD'!$AM:$AM)/($AA35+SUMIF('Plant BD'!$B:$B,$A35,'Plant BD'!$AM:$AM)),"")</f>
        <v>1</v>
      </c>
      <c r="P35" s="105"/>
      <c r="Q35" s="106"/>
      <c r="R35" s="105">
        <f>IFERROR(1-SUMIF('Grid BD'!$B:$B,$A35,'Grid BD'!$AE:$AE)/($AA35+SUMIF('Grid BD'!$B:$B,$A35,'Grid BD'!$AE:$AE)),"")</f>
        <v>0.96815478554805434</v>
      </c>
      <c r="T35" s="106"/>
      <c r="U35" s="107">
        <f t="shared" si="1"/>
        <v>0.84358417980844502</v>
      </c>
      <c r="V35" s="107"/>
      <c r="W35" s="108">
        <f t="shared" si="2"/>
        <v>0.19402436135594231</v>
      </c>
      <c r="X35" s="101">
        <f>IFERROR(_xlfn.XLOOKUP($A35,'Raw Data'!$G:$G,'Raw Data'!AI:AI),"")</f>
        <v>37802.400000000001</v>
      </c>
      <c r="Y35" s="101">
        <f>IFERROR(_xlfn.XLOOKUP($A35,'Raw Data'!$G:$G,'Raw Data'!AJ:AJ),"")</f>
        <v>37449.99999999709</v>
      </c>
      <c r="Z35" s="101">
        <f>IFERROR(_xlfn.XLOOKUP($A35,'Raw Data'!$G:$G,'Raw Data'!AK:AK),"")</f>
        <v>100.00000000002274</v>
      </c>
      <c r="AA35" s="101">
        <f>IFERROR(_xlfn.XLOOKUP($A35,'Raw Data'!$G:$G,'Raw Data'!$AL:$AL)*(1+(_xlfn.XLOOKUP(Table13[[#This Row],[Month Year]],JMR!$A:$A,JMR!$J:$J))),"")</f>
        <v>37349.999999997068</v>
      </c>
      <c r="AB35" s="101">
        <f>IFERROR(_xlfn.XLOOKUP($A35,'Raw Data'!$G:$G,'Raw Data'!H:H),"")</f>
        <v>8.0208999999999993</v>
      </c>
      <c r="AC35" s="67">
        <f>IFERROR(_xlfn.XLOOKUP($D35,'Modelling New'!$D:$D,'Modelling New'!P:P),"")</f>
        <v>6.0129032258064514</v>
      </c>
      <c r="AD35" s="101">
        <f>IFERROR(_xlfn.XLOOKUP($D35,'Modelling New'!$D:$D,'Modelling New'!$T:$T)*1000,"")</f>
        <v>33577.74455581214</v>
      </c>
      <c r="AE35" s="109">
        <f>IFERROR(_xlfn.XLOOKUP($D35,'Modelling New'!$D:$D,'Modelling New'!O:O),"")</f>
        <v>0.69621632879901718</v>
      </c>
      <c r="AF35" s="108">
        <f>IFERROR(_xlfn.XLOOKUP($D35,'Modelling New'!$D:$D,'Modelling New'!W:W),"")</f>
        <v>0.17442839205394728</v>
      </c>
      <c r="AG35" s="108">
        <f>IFERROR(_xlfn.XLOOKUP($D35,'Modelling New'!$D:$D,'Modelling New'!AE:AE),"")</f>
        <v>0.98040000000000005</v>
      </c>
      <c r="AH35" s="128">
        <f>IFERROR(_xlfn.XLOOKUP($D35,'Modelling New'!$D:$D,'Modelling New'!AF:AF),"")</f>
        <v>0.98</v>
      </c>
      <c r="AN35" s="105"/>
      <c r="AO35" s="108"/>
      <c r="AP35" s="108"/>
      <c r="AQ35" s="108"/>
      <c r="AR35" s="101">
        <f>'Basic Data'!$B$98/1000</f>
        <v>8.0208999999999993</v>
      </c>
      <c r="AT35" s="7">
        <f>IFERROR(_xlfn.XLOOKUP(Table13[[#This Row],[Date]],'Raw Data'!$G:$G,'Raw Data'!$AN:$AN),"")</f>
        <v>0</v>
      </c>
      <c r="AU35" s="7">
        <f>IFERROR(_xlfn.XLOOKUP(Table13[[#This Row],[Month Year]],'Modelling New'!$D:$D,'Modelling New'!$AO:$AO),"")</f>
        <v>8</v>
      </c>
      <c r="AV35" s="7">
        <f>SUMIF('Curtailment Records'!$C:$C,Table13[[#This Row],[Date]],'Curtailment Records'!$R:$R)/1000</f>
        <v>0</v>
      </c>
    </row>
    <row r="36" spans="1:48" x14ac:dyDescent="0.3">
      <c r="A36" s="100">
        <f t="shared" si="3"/>
        <v>45779</v>
      </c>
      <c r="B36" s="101">
        <f>YEAR(Table13[[#This Row],[Date]])+IF(MONTH(Table13[[#This Row],[Date]])&gt;=4,1,0)</f>
        <v>2026</v>
      </c>
      <c r="C36" s="7">
        <f>YEAR(Table13[[#This Row],[Date]])</f>
        <v>2025</v>
      </c>
      <c r="D36" s="102">
        <f>Table13[[#This Row],[Date]]-DAY(Table13[[#This Row],[Date]])+1</f>
        <v>45778</v>
      </c>
      <c r="E36" s="7">
        <f t="shared" si="0"/>
        <v>31</v>
      </c>
      <c r="F36" s="103">
        <f>IFERROR(_xlfn.XLOOKUP($A36,'Raw Data'!$G:$G,'Raw Data'!$AM:$AM),"")</f>
        <v>12.600000000000001</v>
      </c>
      <c r="G36" s="104">
        <f>IFERROR(_xlfn.XLOOKUP($A36,'Raw Data'!$G:$G,'Raw Data'!$AB:$AB),"")</f>
        <v>0</v>
      </c>
      <c r="H36" s="104"/>
      <c r="I36" s="104">
        <f>IFERROR(_xlfn.XLOOKUP($A36,'Raw Data'!$G:$G,'Raw Data'!$AC:$AC),"")</f>
        <v>6.17</v>
      </c>
      <c r="J36" s="104"/>
      <c r="K36" s="104">
        <f>IFERROR(_xlfn.XLOOKUP($A36,'Raw Data'!$G:$G,'Raw Data'!AD:AD),"")</f>
        <v>0</v>
      </c>
      <c r="L36" s="104">
        <f>IFERROR(_xlfn.XLOOKUP($A36,'Raw Data'!$G:$G,'Raw Data'!AE:AE),"")</f>
        <v>45.19</v>
      </c>
      <c r="M36" s="104">
        <f>IFERROR(_xlfn.XLOOKUP($A36,'Raw Data'!$G:$G,'Raw Data'!AF:AF),"")</f>
        <v>0</v>
      </c>
      <c r="N36" s="104">
        <f>IFERROR(_xlfn.XLOOKUP($A36,'Raw Data'!$G:$G,'Raw Data'!AG:AG),"")</f>
        <v>0</v>
      </c>
      <c r="O36" s="105">
        <f>IFERROR(1-SUMIF('Plant BD'!$B:$B,$A36,'Plant BD'!$AM:$AM)/($AA36+SUMIF('Plant BD'!$B:$B,$A36,'Plant BD'!$AM:$AM)),"")</f>
        <v>1</v>
      </c>
      <c r="P36" s="105"/>
      <c r="Q36" s="106"/>
      <c r="R36" s="105">
        <f>IFERROR(1-SUMIF('Grid BD'!$B:$B,$A36,'Grid BD'!$AE:$AE)/($AA36+SUMIF('Grid BD'!$B:$B,$A36,'Grid BD'!$AE:$AE)),"")</f>
        <v>0.92490415674310689</v>
      </c>
      <c r="T36" s="106"/>
      <c r="U36" s="107">
        <f t="shared" si="1"/>
        <v>0.62539209508034943</v>
      </c>
      <c r="V36" s="107"/>
      <c r="W36" s="108">
        <f t="shared" si="2"/>
        <v>0.16077788444357316</v>
      </c>
      <c r="X36" s="101">
        <f>IFERROR(_xlfn.XLOOKUP($A36,'Raw Data'!$G:$G,'Raw Data'!AI:AI),"")</f>
        <v>31347.7</v>
      </c>
      <c r="Y36" s="101">
        <f>IFERROR(_xlfn.XLOOKUP($A36,'Raw Data'!$G:$G,'Raw Data'!AJ:AJ),"")</f>
        <v>31050.00000000291</v>
      </c>
      <c r="Z36" s="101">
        <f>IFERROR(_xlfn.XLOOKUP($A36,'Raw Data'!$G:$G,'Raw Data'!AK:AK),"")</f>
        <v>99.999999999965894</v>
      </c>
      <c r="AA36" s="101">
        <f>IFERROR(_xlfn.XLOOKUP($A36,'Raw Data'!$G:$G,'Raw Data'!$AL:$AL)*(1+(_xlfn.XLOOKUP(Table13[[#This Row],[Month Year]],JMR!$A:$A,JMR!$J:$J))),"")</f>
        <v>30950.000000002943</v>
      </c>
      <c r="AB36" s="101">
        <f>IFERROR(_xlfn.XLOOKUP($A36,'Raw Data'!$G:$G,'Raw Data'!H:H),"")</f>
        <v>8.0208999999999993</v>
      </c>
      <c r="AC36" s="67">
        <f>IFERROR(_xlfn.XLOOKUP($D36,'Modelling New'!$D:$D,'Modelling New'!P:P),"")</f>
        <v>6.0129032258064514</v>
      </c>
      <c r="AD36" s="101">
        <f>IFERROR(_xlfn.XLOOKUP($D36,'Modelling New'!$D:$D,'Modelling New'!$T:$T)*1000,"")</f>
        <v>33577.74455581214</v>
      </c>
      <c r="AE36" s="109">
        <f>IFERROR(_xlfn.XLOOKUP($D36,'Modelling New'!$D:$D,'Modelling New'!O:O),"")</f>
        <v>0.69621632879901718</v>
      </c>
      <c r="AF36" s="108">
        <f>IFERROR(_xlfn.XLOOKUP($D36,'Modelling New'!$D:$D,'Modelling New'!W:W),"")</f>
        <v>0.17442839205394728</v>
      </c>
      <c r="AG36" s="108">
        <f>IFERROR(_xlfn.XLOOKUP($D36,'Modelling New'!$D:$D,'Modelling New'!AE:AE),"")</f>
        <v>0.98040000000000005</v>
      </c>
      <c r="AH36" s="128">
        <f>IFERROR(_xlfn.XLOOKUP($D36,'Modelling New'!$D:$D,'Modelling New'!AF:AF),"")</f>
        <v>0.98</v>
      </c>
      <c r="AN36" s="105"/>
      <c r="AO36" s="108"/>
      <c r="AP36" s="108"/>
      <c r="AQ36" s="108"/>
      <c r="AR36" s="101">
        <f>'Basic Data'!$B$98/1000</f>
        <v>8.0208999999999993</v>
      </c>
      <c r="AT36" s="7">
        <f>IFERROR(_xlfn.XLOOKUP(Table13[[#This Row],[Date]],'Raw Data'!$G:$G,'Raw Data'!$AN:$AN),"")</f>
        <v>0</v>
      </c>
      <c r="AU36" s="7">
        <f>IFERROR(_xlfn.XLOOKUP(Table13[[#This Row],[Month Year]],'Modelling New'!$D:$D,'Modelling New'!$AO:$AO),"")</f>
        <v>8</v>
      </c>
      <c r="AV36" s="7">
        <f>SUMIF('Curtailment Records'!$C:$C,Table13[[#This Row],[Date]],'Curtailment Records'!$R:$R)/1000</f>
        <v>0</v>
      </c>
    </row>
    <row r="37" spans="1:48" x14ac:dyDescent="0.3">
      <c r="A37" s="100">
        <f t="shared" si="3"/>
        <v>45780</v>
      </c>
      <c r="B37" s="101">
        <f>YEAR(Table13[[#This Row],[Date]])+IF(MONTH(Table13[[#This Row],[Date]])&gt;=4,1,0)</f>
        <v>2026</v>
      </c>
      <c r="C37" s="7">
        <f>YEAR(Table13[[#This Row],[Date]])</f>
        <v>2025</v>
      </c>
      <c r="D37" s="102">
        <f>Table13[[#This Row],[Date]]-DAY(Table13[[#This Row],[Date]])+1</f>
        <v>45778</v>
      </c>
      <c r="E37" s="7">
        <f t="shared" si="0"/>
        <v>31</v>
      </c>
      <c r="F37" s="103">
        <f>IFERROR(_xlfn.XLOOKUP($A37,'Raw Data'!$G:$G,'Raw Data'!$AM:$AM),"")</f>
        <v>12.583333333333334</v>
      </c>
      <c r="G37" s="104">
        <f>IFERROR(_xlfn.XLOOKUP($A37,'Raw Data'!$G:$G,'Raw Data'!$AB:$AB),"")</f>
        <v>0</v>
      </c>
      <c r="H37" s="104"/>
      <c r="I37" s="104">
        <f>IFERROR(_xlfn.XLOOKUP($A37,'Raw Data'!$G:$G,'Raw Data'!$AC:$AC),"")</f>
        <v>5.93</v>
      </c>
      <c r="J37" s="104"/>
      <c r="K37" s="104">
        <f>IFERROR(_xlfn.XLOOKUP($A37,'Raw Data'!$G:$G,'Raw Data'!AD:AD),"")</f>
        <v>0</v>
      </c>
      <c r="L37" s="104">
        <f>IFERROR(_xlfn.XLOOKUP($A37,'Raw Data'!$G:$G,'Raw Data'!AE:AE),"")</f>
        <v>45.51</v>
      </c>
      <c r="M37" s="104">
        <f>IFERROR(_xlfn.XLOOKUP($A37,'Raw Data'!$G:$G,'Raw Data'!AF:AF),"")</f>
        <v>0</v>
      </c>
      <c r="N37" s="104">
        <f>IFERROR(_xlfn.XLOOKUP($A37,'Raw Data'!$G:$G,'Raw Data'!AG:AG),"")</f>
        <v>0</v>
      </c>
      <c r="O37" s="105">
        <f>IFERROR(1-SUMIF('Plant BD'!$B:$B,$A37,'Plant BD'!$AM:$AM)/($AA37+SUMIF('Plant BD'!$B:$B,$A37,'Plant BD'!$AM:$AM)),"")</f>
        <v>1</v>
      </c>
      <c r="P37" s="105"/>
      <c r="Q37" s="106"/>
      <c r="R37" s="105">
        <f>IFERROR(1-SUMIF('Grid BD'!$B:$B,$A37,'Grid BD'!$AE:$AE)/($AA37+SUMIF('Grid BD'!$B:$B,$A37,'Grid BD'!$AE:$AE)),"")</f>
        <v>1</v>
      </c>
      <c r="T37" s="106"/>
      <c r="U37" s="107">
        <f t="shared" si="1"/>
        <v>0.80418069681670401</v>
      </c>
      <c r="V37" s="107"/>
      <c r="W37" s="108">
        <f t="shared" si="2"/>
        <v>0.19869964717179389</v>
      </c>
      <c r="X37" s="101">
        <f>IFERROR(_xlfn.XLOOKUP($A37,'Raw Data'!$G:$G,'Raw Data'!AI:AI),"")</f>
        <v>38672.899999999994</v>
      </c>
      <c r="Y37" s="101">
        <f>IFERROR(_xlfn.XLOOKUP($A37,'Raw Data'!$G:$G,'Raw Data'!AJ:AJ),"")</f>
        <v>38350.000000005821</v>
      </c>
      <c r="Z37" s="101">
        <f>IFERROR(_xlfn.XLOOKUP($A37,'Raw Data'!$G:$G,'Raw Data'!AK:AK),"")</f>
        <v>100.00000000002274</v>
      </c>
      <c r="AA37" s="101">
        <f>IFERROR(_xlfn.XLOOKUP($A37,'Raw Data'!$G:$G,'Raw Data'!$AL:$AL)*(1+(_xlfn.XLOOKUP(Table13[[#This Row],[Month Year]],JMR!$A:$A,JMR!$J:$J))),"")</f>
        <v>38250.000000005799</v>
      </c>
      <c r="AB37" s="101">
        <f>IFERROR(_xlfn.XLOOKUP($A37,'Raw Data'!$G:$G,'Raw Data'!H:H),"")</f>
        <v>8.0208999999999993</v>
      </c>
      <c r="AC37" s="67">
        <f>IFERROR(_xlfn.XLOOKUP($D37,'Modelling New'!$D:$D,'Modelling New'!P:P),"")</f>
        <v>6.0129032258064514</v>
      </c>
      <c r="AD37" s="101">
        <f>IFERROR(_xlfn.XLOOKUP($D37,'Modelling New'!$D:$D,'Modelling New'!$T:$T)*1000,"")</f>
        <v>33577.74455581214</v>
      </c>
      <c r="AE37" s="109">
        <f>IFERROR(_xlfn.XLOOKUP($D37,'Modelling New'!$D:$D,'Modelling New'!O:O),"")</f>
        <v>0.69621632879901718</v>
      </c>
      <c r="AF37" s="108">
        <f>IFERROR(_xlfn.XLOOKUP($D37,'Modelling New'!$D:$D,'Modelling New'!W:W),"")</f>
        <v>0.17442839205394728</v>
      </c>
      <c r="AG37" s="108">
        <f>IFERROR(_xlfn.XLOOKUP($D37,'Modelling New'!$D:$D,'Modelling New'!AE:AE),"")</f>
        <v>0.98040000000000005</v>
      </c>
      <c r="AH37" s="128">
        <f>IFERROR(_xlfn.XLOOKUP($D37,'Modelling New'!$D:$D,'Modelling New'!AF:AF),"")</f>
        <v>0.98</v>
      </c>
      <c r="AN37" s="105"/>
      <c r="AO37" s="108"/>
      <c r="AP37" s="108"/>
      <c r="AQ37" s="108"/>
      <c r="AR37" s="101">
        <f>'Basic Data'!$B$98/1000</f>
        <v>8.0208999999999993</v>
      </c>
      <c r="AT37" s="7">
        <f>IFERROR(_xlfn.XLOOKUP(Table13[[#This Row],[Date]],'Raw Data'!$G:$G,'Raw Data'!$AN:$AN),"")</f>
        <v>0</v>
      </c>
      <c r="AU37" s="7">
        <f>IFERROR(_xlfn.XLOOKUP(Table13[[#This Row],[Month Year]],'Modelling New'!$D:$D,'Modelling New'!$AO:$AO),"")</f>
        <v>8</v>
      </c>
      <c r="AV37" s="7">
        <f>SUMIF('Curtailment Records'!$C:$C,Table13[[#This Row],[Date]],'Curtailment Records'!$R:$R)/1000</f>
        <v>0</v>
      </c>
    </row>
    <row r="38" spans="1:48" x14ac:dyDescent="0.3">
      <c r="A38" s="100">
        <f t="shared" si="3"/>
        <v>45781</v>
      </c>
      <c r="B38" s="101">
        <f>YEAR(Table13[[#This Row],[Date]])+IF(MONTH(Table13[[#This Row],[Date]])&gt;=4,1,0)</f>
        <v>2026</v>
      </c>
      <c r="C38" s="7">
        <f>YEAR(Table13[[#This Row],[Date]])</f>
        <v>2025</v>
      </c>
      <c r="D38" s="102">
        <f>Table13[[#This Row],[Date]]-DAY(Table13[[#This Row],[Date]])+1</f>
        <v>45778</v>
      </c>
      <c r="E38" s="7">
        <f t="shared" si="0"/>
        <v>31</v>
      </c>
      <c r="F38" s="103">
        <f>IFERROR(_xlfn.XLOOKUP($A38,'Raw Data'!$G:$G,'Raw Data'!$AM:$AM),"")</f>
        <v>12.716666666666667</v>
      </c>
      <c r="G38" s="104">
        <f>IFERROR(_xlfn.XLOOKUP($A38,'Raw Data'!$G:$G,'Raw Data'!$AB:$AB),"")</f>
        <v>0</v>
      </c>
      <c r="H38" s="104"/>
      <c r="I38" s="104">
        <f>IFERROR(_xlfn.XLOOKUP($A38,'Raw Data'!$G:$G,'Raw Data'!$AC:$AC),"")</f>
        <v>5.27</v>
      </c>
      <c r="J38" s="104"/>
      <c r="K38" s="104">
        <f>IFERROR(_xlfn.XLOOKUP($A38,'Raw Data'!$G:$G,'Raw Data'!AD:AD),"")</f>
        <v>0</v>
      </c>
      <c r="L38" s="104">
        <f>IFERROR(_xlfn.XLOOKUP($A38,'Raw Data'!$G:$G,'Raw Data'!AE:AE),"")</f>
        <v>42.88</v>
      </c>
      <c r="M38" s="104">
        <f>IFERROR(_xlfn.XLOOKUP($A38,'Raw Data'!$G:$G,'Raw Data'!AF:AF),"")</f>
        <v>0</v>
      </c>
      <c r="N38" s="104">
        <f>IFERROR(_xlfn.XLOOKUP($A38,'Raw Data'!$G:$G,'Raw Data'!AG:AG),"")</f>
        <v>0</v>
      </c>
      <c r="O38" s="105">
        <f>IFERROR(1-SUMIF('Plant BD'!$B:$B,$A38,'Plant BD'!$AM:$AM)/($AA38+SUMIF('Plant BD'!$B:$B,$A38,'Plant BD'!$AM:$AM)),"")</f>
        <v>1</v>
      </c>
      <c r="P38" s="105"/>
      <c r="Q38" s="106"/>
      <c r="R38" s="105">
        <f>IFERROR(1-SUMIF('Grid BD'!$B:$B,$A38,'Grid BD'!$AE:$AE)/($AA38+SUMIF('Grid BD'!$B:$B,$A38,'Grid BD'!$AE:$AE)),"")</f>
        <v>0.57984642334966019</v>
      </c>
      <c r="T38" s="106"/>
      <c r="U38" s="107">
        <f t="shared" si="1"/>
        <v>0.48497588475135395</v>
      </c>
      <c r="V38" s="107"/>
      <c r="W38" s="108">
        <f t="shared" si="2"/>
        <v>0.10649262135998479</v>
      </c>
      <c r="X38" s="101">
        <f>IFERROR(_xlfn.XLOOKUP($A38,'Raw Data'!$G:$G,'Raw Data'!AI:AI),"")</f>
        <v>20778</v>
      </c>
      <c r="Y38" s="101">
        <f>IFERROR(_xlfn.XLOOKUP($A38,'Raw Data'!$G:$G,'Raw Data'!AJ:AJ),"")</f>
        <v>20599.999999991269</v>
      </c>
      <c r="Z38" s="101">
        <f>IFERROR(_xlfn.XLOOKUP($A38,'Raw Data'!$G:$G,'Raw Data'!AK:AK),"")</f>
        <v>100.00000000002274</v>
      </c>
      <c r="AA38" s="101">
        <f>IFERROR(_xlfn.XLOOKUP($A38,'Raw Data'!$G:$G,'Raw Data'!$AL:$AL)*(1+(_xlfn.XLOOKUP(Table13[[#This Row],[Month Year]],JMR!$A:$A,JMR!$J:$J))),"")</f>
        <v>20499.999999991247</v>
      </c>
      <c r="AB38" s="101">
        <f>IFERROR(_xlfn.XLOOKUP($A38,'Raw Data'!$G:$G,'Raw Data'!H:H),"")</f>
        <v>8.0208999999999993</v>
      </c>
      <c r="AC38" s="67">
        <f>IFERROR(_xlfn.XLOOKUP($D38,'Modelling New'!$D:$D,'Modelling New'!P:P),"")</f>
        <v>6.0129032258064514</v>
      </c>
      <c r="AD38" s="101">
        <f>IFERROR(_xlfn.XLOOKUP($D38,'Modelling New'!$D:$D,'Modelling New'!$T:$T)*1000,"")</f>
        <v>33577.74455581214</v>
      </c>
      <c r="AE38" s="109">
        <f>IFERROR(_xlfn.XLOOKUP($D38,'Modelling New'!$D:$D,'Modelling New'!O:O),"")</f>
        <v>0.69621632879901718</v>
      </c>
      <c r="AF38" s="108">
        <f>IFERROR(_xlfn.XLOOKUP($D38,'Modelling New'!$D:$D,'Modelling New'!W:W),"")</f>
        <v>0.17442839205394728</v>
      </c>
      <c r="AG38" s="108">
        <f>IFERROR(_xlfn.XLOOKUP($D38,'Modelling New'!$D:$D,'Modelling New'!AE:AE),"")</f>
        <v>0.98040000000000005</v>
      </c>
      <c r="AH38" s="128">
        <f>IFERROR(_xlfn.XLOOKUP($D38,'Modelling New'!$D:$D,'Modelling New'!AF:AF),"")</f>
        <v>0.98</v>
      </c>
      <c r="AN38" s="105"/>
      <c r="AO38" s="108"/>
      <c r="AP38" s="108"/>
      <c r="AQ38" s="108"/>
      <c r="AR38" s="101">
        <f>'Basic Data'!$B$98/1000</f>
        <v>8.0208999999999993</v>
      </c>
      <c r="AT38" s="7">
        <f>IFERROR(_xlfn.XLOOKUP(Table13[[#This Row],[Date]],'Raw Data'!$G:$G,'Raw Data'!$AN:$AN),"")</f>
        <v>0</v>
      </c>
      <c r="AU38" s="7">
        <f>IFERROR(_xlfn.XLOOKUP(Table13[[#This Row],[Month Year]],'Modelling New'!$D:$D,'Modelling New'!$AO:$AO),"")</f>
        <v>8</v>
      </c>
      <c r="AV38" s="7">
        <f>SUMIF('Curtailment Records'!$C:$C,Table13[[#This Row],[Date]],'Curtailment Records'!$R:$R)/1000</f>
        <v>0</v>
      </c>
    </row>
    <row r="39" spans="1:48" x14ac:dyDescent="0.3">
      <c r="A39" s="100">
        <f t="shared" si="3"/>
        <v>45782</v>
      </c>
      <c r="B39" s="101">
        <f>YEAR(Table13[[#This Row],[Date]])+IF(MONTH(Table13[[#This Row],[Date]])&gt;=4,1,0)</f>
        <v>2026</v>
      </c>
      <c r="C39" s="7">
        <f>YEAR(Table13[[#This Row],[Date]])</f>
        <v>2025</v>
      </c>
      <c r="D39" s="102">
        <f>Table13[[#This Row],[Date]]-DAY(Table13[[#This Row],[Date]])+1</f>
        <v>45778</v>
      </c>
      <c r="E39" s="7">
        <f t="shared" si="0"/>
        <v>31</v>
      </c>
      <c r="F39" s="103">
        <f>IFERROR(_xlfn.XLOOKUP($A39,'Raw Data'!$G:$G,'Raw Data'!$AM:$AM),"")</f>
        <v>12.316666666666668</v>
      </c>
      <c r="G39" s="104">
        <f>IFERROR(_xlfn.XLOOKUP($A39,'Raw Data'!$G:$G,'Raw Data'!$AB:$AB),"")</f>
        <v>0</v>
      </c>
      <c r="H39" s="104"/>
      <c r="I39" s="104">
        <f>IFERROR(_xlfn.XLOOKUP($A39,'Raw Data'!$G:$G,'Raw Data'!$AC:$AC),"")</f>
        <v>6.52</v>
      </c>
      <c r="J39" s="104"/>
      <c r="K39" s="104">
        <f>IFERROR(_xlfn.XLOOKUP($A39,'Raw Data'!$G:$G,'Raw Data'!AD:AD),"")</f>
        <v>0</v>
      </c>
      <c r="L39" s="104">
        <f>IFERROR(_xlfn.XLOOKUP($A39,'Raw Data'!$G:$G,'Raw Data'!AE:AE),"")</f>
        <v>45.43</v>
      </c>
      <c r="M39" s="104">
        <f>IFERROR(_xlfn.XLOOKUP($A39,'Raw Data'!$G:$G,'Raw Data'!AF:AF),"")</f>
        <v>0</v>
      </c>
      <c r="N39" s="104">
        <f>IFERROR(_xlfn.XLOOKUP($A39,'Raw Data'!$G:$G,'Raw Data'!AG:AG),"")</f>
        <v>0</v>
      </c>
      <c r="O39" s="105">
        <f>IFERROR(1-SUMIF('Plant BD'!$B:$B,$A39,'Plant BD'!$AM:$AM)/($AA39+SUMIF('Plant BD'!$B:$B,$A39,'Plant BD'!$AM:$AM)),"")</f>
        <v>1</v>
      </c>
      <c r="P39" s="105"/>
      <c r="Q39" s="106"/>
      <c r="R39" s="105">
        <f>IFERROR(1-SUMIF('Grid BD'!$B:$B,$A39,'Grid BD'!$AE:$AE)/($AA39+SUMIF('Grid BD'!$B:$B,$A39,'Grid BD'!$AE:$AE)),"")</f>
        <v>1</v>
      </c>
      <c r="T39" s="106"/>
      <c r="U39" s="107">
        <f t="shared" si="1"/>
        <v>0.7725216644522328</v>
      </c>
      <c r="V39" s="107"/>
      <c r="W39" s="108">
        <f t="shared" si="2"/>
        <v>0.20986838550952322</v>
      </c>
      <c r="X39" s="101">
        <f>IFERROR(_xlfn.XLOOKUP($A39,'Raw Data'!$G:$G,'Raw Data'!AI:AI),"")</f>
        <v>40864.5</v>
      </c>
      <c r="Y39" s="101">
        <f>IFERROR(_xlfn.XLOOKUP($A39,'Raw Data'!$G:$G,'Raw Data'!AJ:AJ),"")</f>
        <v>40500</v>
      </c>
      <c r="Z39" s="101">
        <f>IFERROR(_xlfn.XLOOKUP($A39,'Raw Data'!$G:$G,'Raw Data'!AK:AK),"")</f>
        <v>99.999999999965894</v>
      </c>
      <c r="AA39" s="101">
        <f>IFERROR(_xlfn.XLOOKUP($A39,'Raw Data'!$G:$G,'Raw Data'!$AL:$AL)*(1+(_xlfn.XLOOKUP(Table13[[#This Row],[Month Year]],JMR!$A:$A,JMR!$J:$J))),"")</f>
        <v>40400.000000000036</v>
      </c>
      <c r="AB39" s="101">
        <f>IFERROR(_xlfn.XLOOKUP($A39,'Raw Data'!$G:$G,'Raw Data'!H:H),"")</f>
        <v>8.0208999999999993</v>
      </c>
      <c r="AC39" s="67">
        <f>IFERROR(_xlfn.XLOOKUP($D39,'Modelling New'!$D:$D,'Modelling New'!P:P),"")</f>
        <v>6.0129032258064514</v>
      </c>
      <c r="AD39" s="101">
        <f>IFERROR(_xlfn.XLOOKUP($D39,'Modelling New'!$D:$D,'Modelling New'!$T:$T)*1000,"")</f>
        <v>33577.74455581214</v>
      </c>
      <c r="AE39" s="109">
        <f>IFERROR(_xlfn.XLOOKUP($D39,'Modelling New'!$D:$D,'Modelling New'!O:O),"")</f>
        <v>0.69621632879901718</v>
      </c>
      <c r="AF39" s="108">
        <f>IFERROR(_xlfn.XLOOKUP($D39,'Modelling New'!$D:$D,'Modelling New'!W:W),"")</f>
        <v>0.17442839205394728</v>
      </c>
      <c r="AG39" s="108">
        <f>IFERROR(_xlfn.XLOOKUP($D39,'Modelling New'!$D:$D,'Modelling New'!AE:AE),"")</f>
        <v>0.98040000000000005</v>
      </c>
      <c r="AH39" s="128">
        <f>IFERROR(_xlfn.XLOOKUP($D39,'Modelling New'!$D:$D,'Modelling New'!AF:AF),"")</f>
        <v>0.98</v>
      </c>
      <c r="AN39" s="105"/>
      <c r="AO39" s="108"/>
      <c r="AP39" s="108"/>
      <c r="AQ39" s="108"/>
      <c r="AR39" s="101">
        <f>'Basic Data'!$B$98/1000</f>
        <v>8.0208999999999993</v>
      </c>
      <c r="AT39" s="7">
        <f>IFERROR(_xlfn.XLOOKUP(Table13[[#This Row],[Date]],'Raw Data'!$G:$G,'Raw Data'!$AN:$AN),"")</f>
        <v>0</v>
      </c>
      <c r="AU39" s="7">
        <f>IFERROR(_xlfn.XLOOKUP(Table13[[#This Row],[Month Year]],'Modelling New'!$D:$D,'Modelling New'!$AO:$AO),"")</f>
        <v>8</v>
      </c>
      <c r="AV39" s="7">
        <f>SUMIF('Curtailment Records'!$C:$C,Table13[[#This Row],[Date]],'Curtailment Records'!$R:$R)/1000</f>
        <v>0</v>
      </c>
    </row>
    <row r="40" spans="1:48" x14ac:dyDescent="0.3">
      <c r="A40" s="100">
        <f t="shared" si="3"/>
        <v>45783</v>
      </c>
      <c r="B40" s="101">
        <f>YEAR(Table13[[#This Row],[Date]])+IF(MONTH(Table13[[#This Row],[Date]])&gt;=4,1,0)</f>
        <v>2026</v>
      </c>
      <c r="C40" s="7">
        <f>YEAR(Table13[[#This Row],[Date]])</f>
        <v>2025</v>
      </c>
      <c r="D40" s="102">
        <f>Table13[[#This Row],[Date]]-DAY(Table13[[#This Row],[Date]])+1</f>
        <v>45778</v>
      </c>
      <c r="E40" s="7">
        <f t="shared" si="0"/>
        <v>31</v>
      </c>
      <c r="F40" s="103">
        <f>IFERROR(_xlfn.XLOOKUP($A40,'Raw Data'!$G:$G,'Raw Data'!$AM:$AM),"")</f>
        <v>12.5</v>
      </c>
      <c r="G40" s="104">
        <f>IFERROR(_xlfn.XLOOKUP($A40,'Raw Data'!$G:$G,'Raw Data'!$AB:$AB),"")</f>
        <v>0</v>
      </c>
      <c r="H40" s="104"/>
      <c r="I40" s="104">
        <f>IFERROR(_xlfn.XLOOKUP($A40,'Raw Data'!$G:$G,'Raw Data'!$AC:$AC),"")</f>
        <v>6.2</v>
      </c>
      <c r="J40" s="104"/>
      <c r="K40" s="104">
        <f>IFERROR(_xlfn.XLOOKUP($A40,'Raw Data'!$G:$G,'Raw Data'!AD:AD),"")</f>
        <v>0</v>
      </c>
      <c r="L40" s="104">
        <f>IFERROR(_xlfn.XLOOKUP($A40,'Raw Data'!$G:$G,'Raw Data'!AE:AE),"")</f>
        <v>44.26</v>
      </c>
      <c r="M40" s="104">
        <f>IFERROR(_xlfn.XLOOKUP($A40,'Raw Data'!$G:$G,'Raw Data'!AF:AF),"")</f>
        <v>0</v>
      </c>
      <c r="N40" s="104">
        <f>IFERROR(_xlfn.XLOOKUP($A40,'Raw Data'!$G:$G,'Raw Data'!AG:AG),"")</f>
        <v>0</v>
      </c>
      <c r="O40" s="105">
        <f>IFERROR(1-SUMIF('Plant BD'!$B:$B,$A40,'Plant BD'!$AM:$AM)/($AA40+SUMIF('Plant BD'!$B:$B,$A40,'Plant BD'!$AM:$AM)),"")</f>
        <v>1</v>
      </c>
      <c r="P40" s="105"/>
      <c r="Q40" s="106"/>
      <c r="R40" s="105">
        <f>IFERROR(1-SUMIF('Grid BD'!$B:$B,$A40,'Grid BD'!$AE:$AE)/($AA40+SUMIF('Grid BD'!$B:$B,$A40,'Grid BD'!$AE:$AE)),"")</f>
        <v>1</v>
      </c>
      <c r="T40" s="106"/>
      <c r="U40" s="107">
        <f t="shared" si="1"/>
        <v>0.77519255139513976</v>
      </c>
      <c r="V40" s="107"/>
      <c r="W40" s="108">
        <f t="shared" si="2"/>
        <v>0.20025807577707774</v>
      </c>
      <c r="X40" s="101">
        <f>IFERROR(_xlfn.XLOOKUP($A40,'Raw Data'!$G:$G,'Raw Data'!AI:AI),"")</f>
        <v>38984.699999999997</v>
      </c>
      <c r="Y40" s="101">
        <f>IFERROR(_xlfn.XLOOKUP($A40,'Raw Data'!$G:$G,'Raw Data'!AJ:AJ),"")</f>
        <v>38650.000000008731</v>
      </c>
      <c r="Z40" s="101">
        <f>IFERROR(_xlfn.XLOOKUP($A40,'Raw Data'!$G:$G,'Raw Data'!AK:AK),"")</f>
        <v>100.00000000002274</v>
      </c>
      <c r="AA40" s="101">
        <f>IFERROR(_xlfn.XLOOKUP($A40,'Raw Data'!$G:$G,'Raw Data'!$AL:$AL)*(1+(_xlfn.XLOOKUP(Table13[[#This Row],[Month Year]],JMR!$A:$A,JMR!$J:$J))),"")</f>
        <v>38550.000000008709</v>
      </c>
      <c r="AB40" s="101">
        <f>IFERROR(_xlfn.XLOOKUP($A40,'Raw Data'!$G:$G,'Raw Data'!H:H),"")</f>
        <v>8.0208999999999993</v>
      </c>
      <c r="AC40" s="67">
        <f>IFERROR(_xlfn.XLOOKUP($D40,'Modelling New'!$D:$D,'Modelling New'!P:P),"")</f>
        <v>6.0129032258064514</v>
      </c>
      <c r="AD40" s="101">
        <f>IFERROR(_xlfn.XLOOKUP($D40,'Modelling New'!$D:$D,'Modelling New'!$T:$T)*1000,"")</f>
        <v>33577.74455581214</v>
      </c>
      <c r="AE40" s="109">
        <f>IFERROR(_xlfn.XLOOKUP($D40,'Modelling New'!$D:$D,'Modelling New'!O:O),"")</f>
        <v>0.69621632879901718</v>
      </c>
      <c r="AF40" s="108">
        <f>IFERROR(_xlfn.XLOOKUP($D40,'Modelling New'!$D:$D,'Modelling New'!W:W),"")</f>
        <v>0.17442839205394728</v>
      </c>
      <c r="AG40" s="108">
        <f>IFERROR(_xlfn.XLOOKUP($D40,'Modelling New'!$D:$D,'Modelling New'!AE:AE),"")</f>
        <v>0.98040000000000005</v>
      </c>
      <c r="AH40" s="128">
        <f>IFERROR(_xlfn.XLOOKUP($D40,'Modelling New'!$D:$D,'Modelling New'!AF:AF),"")</f>
        <v>0.98</v>
      </c>
      <c r="AN40" s="105"/>
      <c r="AO40" s="108"/>
      <c r="AP40" s="108"/>
      <c r="AQ40" s="108"/>
      <c r="AR40" s="101">
        <f>'Basic Data'!$B$98/1000</f>
        <v>8.0208999999999993</v>
      </c>
      <c r="AT40" s="7">
        <f>IFERROR(_xlfn.XLOOKUP(Table13[[#This Row],[Date]],'Raw Data'!$G:$G,'Raw Data'!$AN:$AN),"")</f>
        <v>0</v>
      </c>
      <c r="AU40" s="7">
        <f>IFERROR(_xlfn.XLOOKUP(Table13[[#This Row],[Month Year]],'Modelling New'!$D:$D,'Modelling New'!$AO:$AO),"")</f>
        <v>8</v>
      </c>
      <c r="AV40" s="7">
        <f>SUMIF('Curtailment Records'!$C:$C,Table13[[#This Row],[Date]],'Curtailment Records'!$R:$R)/1000</f>
        <v>0</v>
      </c>
    </row>
    <row r="41" spans="1:48" x14ac:dyDescent="0.3">
      <c r="A41" s="100">
        <f t="shared" si="3"/>
        <v>45784</v>
      </c>
      <c r="B41" s="101">
        <f>YEAR(Table13[[#This Row],[Date]])+IF(MONTH(Table13[[#This Row],[Date]])&gt;=4,1,0)</f>
        <v>2026</v>
      </c>
      <c r="C41" s="7">
        <f>YEAR(Table13[[#This Row],[Date]])</f>
        <v>2025</v>
      </c>
      <c r="D41" s="102">
        <f>Table13[[#This Row],[Date]]-DAY(Table13[[#This Row],[Date]])+1</f>
        <v>45778</v>
      </c>
      <c r="E41" s="7">
        <f t="shared" si="0"/>
        <v>31</v>
      </c>
      <c r="F41" s="103">
        <f>IFERROR(_xlfn.XLOOKUP($A41,'Raw Data'!$G:$G,'Raw Data'!$AM:$AM),"")</f>
        <v>12.766666666666666</v>
      </c>
      <c r="G41" s="104">
        <f>IFERROR(_xlfn.XLOOKUP($A41,'Raw Data'!$G:$G,'Raw Data'!$AB:$AB),"")</f>
        <v>0</v>
      </c>
      <c r="H41" s="104"/>
      <c r="I41" s="104">
        <f>IFERROR(_xlfn.XLOOKUP($A41,'Raw Data'!$G:$G,'Raw Data'!$AC:$AC),"")</f>
        <v>6.58</v>
      </c>
      <c r="J41" s="104"/>
      <c r="K41" s="104">
        <f>IFERROR(_xlfn.XLOOKUP($A41,'Raw Data'!$G:$G,'Raw Data'!AD:AD),"")</f>
        <v>0</v>
      </c>
      <c r="L41" s="104">
        <f>IFERROR(_xlfn.XLOOKUP($A41,'Raw Data'!$G:$G,'Raw Data'!AE:AE),"")</f>
        <v>43.99</v>
      </c>
      <c r="M41" s="104">
        <f>IFERROR(_xlfn.XLOOKUP($A41,'Raw Data'!$G:$G,'Raw Data'!AF:AF),"")</f>
        <v>0</v>
      </c>
      <c r="N41" s="104">
        <f>IFERROR(_xlfn.XLOOKUP($A41,'Raw Data'!$G:$G,'Raw Data'!AG:AG),"")</f>
        <v>0</v>
      </c>
      <c r="O41" s="105">
        <f>IFERROR(1-SUMIF('Plant BD'!$B:$B,$A41,'Plant BD'!$AM:$AM)/($AA41+SUMIF('Plant BD'!$B:$B,$A41,'Plant BD'!$AM:$AM)),"")</f>
        <v>1</v>
      </c>
      <c r="P41" s="105"/>
      <c r="Q41" s="106"/>
      <c r="R41" s="105">
        <f>IFERROR(1-SUMIF('Grid BD'!$B:$B,$A41,'Grid BD'!$AE:$AE)/($AA41+SUMIF('Grid BD'!$B:$B,$A41,'Grid BD'!$AE:$AE)),"")</f>
        <v>1</v>
      </c>
      <c r="T41" s="106"/>
      <c r="U41" s="107">
        <f t="shared" si="1"/>
        <v>0.73895094961054264</v>
      </c>
      <c r="V41" s="107"/>
      <c r="W41" s="108">
        <f t="shared" si="2"/>
        <v>0.20259571868489043</v>
      </c>
      <c r="X41" s="101">
        <f>IFERROR(_xlfn.XLOOKUP($A41,'Raw Data'!$G:$G,'Raw Data'!AI:AI),"")</f>
        <v>39449.4</v>
      </c>
      <c r="Y41" s="101">
        <f>IFERROR(_xlfn.XLOOKUP($A41,'Raw Data'!$G:$G,'Raw Data'!AJ:AJ),"")</f>
        <v>39099.999999991269</v>
      </c>
      <c r="Z41" s="101">
        <f>IFERROR(_xlfn.XLOOKUP($A41,'Raw Data'!$G:$G,'Raw Data'!AK:AK),"")</f>
        <v>99.999999999965894</v>
      </c>
      <c r="AA41" s="101">
        <f>IFERROR(_xlfn.XLOOKUP($A41,'Raw Data'!$G:$G,'Raw Data'!$AL:$AL)*(1+(_xlfn.XLOOKUP(Table13[[#This Row],[Month Year]],JMR!$A:$A,JMR!$J:$J))),"")</f>
        <v>38999.999999991305</v>
      </c>
      <c r="AB41" s="101">
        <f>IFERROR(_xlfn.XLOOKUP($A41,'Raw Data'!$G:$G,'Raw Data'!H:H),"")</f>
        <v>8.0208999999999993</v>
      </c>
      <c r="AC41" s="67">
        <f>IFERROR(_xlfn.XLOOKUP($D41,'Modelling New'!$D:$D,'Modelling New'!P:P),"")</f>
        <v>6.0129032258064514</v>
      </c>
      <c r="AD41" s="101">
        <f>IFERROR(_xlfn.XLOOKUP($D41,'Modelling New'!$D:$D,'Modelling New'!$T:$T)*1000,"")</f>
        <v>33577.74455581214</v>
      </c>
      <c r="AE41" s="109">
        <f>IFERROR(_xlfn.XLOOKUP($D41,'Modelling New'!$D:$D,'Modelling New'!O:O),"")</f>
        <v>0.69621632879901718</v>
      </c>
      <c r="AF41" s="108">
        <f>IFERROR(_xlfn.XLOOKUP($D41,'Modelling New'!$D:$D,'Modelling New'!W:W),"")</f>
        <v>0.17442839205394728</v>
      </c>
      <c r="AG41" s="108">
        <f>IFERROR(_xlfn.XLOOKUP($D41,'Modelling New'!$D:$D,'Modelling New'!AE:AE),"")</f>
        <v>0.98040000000000005</v>
      </c>
      <c r="AH41" s="128">
        <f>IFERROR(_xlfn.XLOOKUP($D41,'Modelling New'!$D:$D,'Modelling New'!AF:AF),"")</f>
        <v>0.98</v>
      </c>
      <c r="AN41" s="105"/>
      <c r="AO41" s="108"/>
      <c r="AP41" s="108"/>
      <c r="AQ41" s="108"/>
      <c r="AR41" s="101">
        <f>'Basic Data'!$B$98/1000</f>
        <v>8.0208999999999993</v>
      </c>
      <c r="AT41" s="7">
        <f>IFERROR(_xlfn.XLOOKUP(Table13[[#This Row],[Date]],'Raw Data'!$G:$G,'Raw Data'!$AN:$AN),"")</f>
        <v>0</v>
      </c>
      <c r="AU41" s="7">
        <f>IFERROR(_xlfn.XLOOKUP(Table13[[#This Row],[Month Year]],'Modelling New'!$D:$D,'Modelling New'!$AO:$AO),"")</f>
        <v>8</v>
      </c>
      <c r="AV41" s="7">
        <f>SUMIF('Curtailment Records'!$C:$C,Table13[[#This Row],[Date]],'Curtailment Records'!$R:$R)/1000</f>
        <v>0</v>
      </c>
    </row>
    <row r="42" spans="1:48" x14ac:dyDescent="0.3">
      <c r="A42" s="100">
        <f t="shared" si="3"/>
        <v>45785</v>
      </c>
      <c r="B42" s="101">
        <f>YEAR(Table13[[#This Row],[Date]])+IF(MONTH(Table13[[#This Row],[Date]])&gt;=4,1,0)</f>
        <v>2026</v>
      </c>
      <c r="C42" s="7">
        <f>YEAR(Table13[[#This Row],[Date]])</f>
        <v>2025</v>
      </c>
      <c r="D42" s="102">
        <f>Table13[[#This Row],[Date]]-DAY(Table13[[#This Row],[Date]])+1</f>
        <v>45778</v>
      </c>
      <c r="E42" s="7">
        <f t="shared" si="0"/>
        <v>31</v>
      </c>
      <c r="F42" s="103">
        <f>IFERROR(_xlfn.XLOOKUP($A42,'Raw Data'!$G:$G,'Raw Data'!$AM:$AM),"")</f>
        <v>12.450000000000001</v>
      </c>
      <c r="G42" s="104">
        <f>IFERROR(_xlfn.XLOOKUP($A42,'Raw Data'!$G:$G,'Raw Data'!$AB:$AB),"")</f>
        <v>0</v>
      </c>
      <c r="H42" s="104"/>
      <c r="I42" s="104">
        <f>IFERROR(_xlfn.XLOOKUP($A42,'Raw Data'!$G:$G,'Raw Data'!$AC:$AC),"")</f>
        <v>6.72</v>
      </c>
      <c r="J42" s="104"/>
      <c r="K42" s="104">
        <f>IFERROR(_xlfn.XLOOKUP($A42,'Raw Data'!$G:$G,'Raw Data'!AD:AD),"")</f>
        <v>0</v>
      </c>
      <c r="L42" s="104">
        <f>IFERROR(_xlfn.XLOOKUP($A42,'Raw Data'!$G:$G,'Raw Data'!AE:AE),"")</f>
        <v>44.03</v>
      </c>
      <c r="M42" s="104">
        <f>IFERROR(_xlfn.XLOOKUP($A42,'Raw Data'!$G:$G,'Raw Data'!AF:AF),"")</f>
        <v>0</v>
      </c>
      <c r="N42" s="104">
        <f>IFERROR(_xlfn.XLOOKUP($A42,'Raw Data'!$G:$G,'Raw Data'!AG:AG),"")</f>
        <v>0</v>
      </c>
      <c r="O42" s="105">
        <f>IFERROR(1-SUMIF('Plant BD'!$B:$B,$A42,'Plant BD'!$AM:$AM)/($AA42+SUMIF('Plant BD'!$B:$B,$A42,'Plant BD'!$AM:$AM)),"")</f>
        <v>1</v>
      </c>
      <c r="P42" s="105"/>
      <c r="Q42" s="106"/>
      <c r="R42" s="105">
        <f>IFERROR(1-SUMIF('Grid BD'!$B:$B,$A42,'Grid BD'!$AE:$AE)/($AA42+SUMIF('Grid BD'!$B:$B,$A42,'Grid BD'!$AE:$AE)),"")</f>
        <v>0.98197928001235979</v>
      </c>
      <c r="T42" s="106"/>
      <c r="U42" s="107">
        <f t="shared" si="1"/>
        <v>0.72262850208597329</v>
      </c>
      <c r="V42" s="107"/>
      <c r="W42" s="108">
        <f t="shared" si="2"/>
        <v>0.20233598058407248</v>
      </c>
      <c r="X42" s="101">
        <f>IFERROR(_xlfn.XLOOKUP($A42,'Raw Data'!$G:$G,'Raw Data'!AI:AI),"")</f>
        <v>39372.199999999997</v>
      </c>
      <c r="Y42" s="101">
        <f>IFERROR(_xlfn.XLOOKUP($A42,'Raw Data'!$G:$G,'Raw Data'!AJ:AJ),"")</f>
        <v>39050.00000000291</v>
      </c>
      <c r="Z42" s="101">
        <f>IFERROR(_xlfn.XLOOKUP($A42,'Raw Data'!$G:$G,'Raw Data'!AK:AK),"")</f>
        <v>100.00000000002274</v>
      </c>
      <c r="AA42" s="101">
        <f>IFERROR(_xlfn.XLOOKUP($A42,'Raw Data'!$G:$G,'Raw Data'!$AL:$AL)*(1+(_xlfn.XLOOKUP(Table13[[#This Row],[Month Year]],JMR!$A:$A,JMR!$J:$J))),"")</f>
        <v>38950.000000002889</v>
      </c>
      <c r="AB42" s="101">
        <f>IFERROR(_xlfn.XLOOKUP($A42,'Raw Data'!$G:$G,'Raw Data'!H:H),"")</f>
        <v>8.0208999999999993</v>
      </c>
      <c r="AC42" s="67">
        <f>IFERROR(_xlfn.XLOOKUP($D42,'Modelling New'!$D:$D,'Modelling New'!P:P),"")</f>
        <v>6.0129032258064514</v>
      </c>
      <c r="AD42" s="101">
        <f>IFERROR(_xlfn.XLOOKUP($D42,'Modelling New'!$D:$D,'Modelling New'!$T:$T)*1000,"")</f>
        <v>33577.74455581214</v>
      </c>
      <c r="AE42" s="109">
        <f>IFERROR(_xlfn.XLOOKUP($D42,'Modelling New'!$D:$D,'Modelling New'!O:O),"")</f>
        <v>0.69621632879901718</v>
      </c>
      <c r="AF42" s="108">
        <f>IFERROR(_xlfn.XLOOKUP($D42,'Modelling New'!$D:$D,'Modelling New'!W:W),"")</f>
        <v>0.17442839205394728</v>
      </c>
      <c r="AG42" s="108">
        <f>IFERROR(_xlfn.XLOOKUP($D42,'Modelling New'!$D:$D,'Modelling New'!AE:AE),"")</f>
        <v>0.98040000000000005</v>
      </c>
      <c r="AH42" s="128">
        <f>IFERROR(_xlfn.XLOOKUP($D42,'Modelling New'!$D:$D,'Modelling New'!AF:AF),"")</f>
        <v>0.98</v>
      </c>
      <c r="AN42" s="105"/>
      <c r="AO42" s="108"/>
      <c r="AP42" s="108"/>
      <c r="AQ42" s="108"/>
      <c r="AR42" s="101">
        <f>'Basic Data'!$B$98/1000</f>
        <v>8.0208999999999993</v>
      </c>
      <c r="AT42" s="7">
        <f>IFERROR(_xlfn.XLOOKUP(Table13[[#This Row],[Date]],'Raw Data'!$G:$G,'Raw Data'!$AN:$AN),"")</f>
        <v>0</v>
      </c>
      <c r="AU42" s="7">
        <f>IFERROR(_xlfn.XLOOKUP(Table13[[#This Row],[Month Year]],'Modelling New'!$D:$D,'Modelling New'!$AO:$AO),"")</f>
        <v>8</v>
      </c>
      <c r="AV42" s="7">
        <f>SUMIF('Curtailment Records'!$C:$C,Table13[[#This Row],[Date]],'Curtailment Records'!$R:$R)/1000</f>
        <v>0</v>
      </c>
    </row>
    <row r="43" spans="1:48" x14ac:dyDescent="0.3">
      <c r="A43" s="100">
        <f t="shared" si="3"/>
        <v>45786</v>
      </c>
      <c r="B43" s="101">
        <f>YEAR(Table13[[#This Row],[Date]])+IF(MONTH(Table13[[#This Row],[Date]])&gt;=4,1,0)</f>
        <v>2026</v>
      </c>
      <c r="C43" s="7">
        <f>YEAR(Table13[[#This Row],[Date]])</f>
        <v>2025</v>
      </c>
      <c r="D43" s="102">
        <f>Table13[[#This Row],[Date]]-DAY(Table13[[#This Row],[Date]])+1</f>
        <v>45778</v>
      </c>
      <c r="E43" s="7">
        <f t="shared" si="0"/>
        <v>31</v>
      </c>
      <c r="F43" s="103">
        <f>IFERROR(_xlfn.XLOOKUP($A43,'Raw Data'!$G:$G,'Raw Data'!$AM:$AM),"")</f>
        <v>12.65</v>
      </c>
      <c r="G43" s="104">
        <f>IFERROR(_xlfn.XLOOKUP($A43,'Raw Data'!$G:$G,'Raw Data'!$AB:$AB),"")</f>
        <v>0</v>
      </c>
      <c r="H43" s="104"/>
      <c r="I43" s="104">
        <f>IFERROR(_xlfn.XLOOKUP($A43,'Raw Data'!$G:$G,'Raw Data'!$AC:$AC),"")</f>
        <v>6.54</v>
      </c>
      <c r="J43" s="104"/>
      <c r="K43" s="104">
        <f>IFERROR(_xlfn.XLOOKUP($A43,'Raw Data'!$G:$G,'Raw Data'!AD:AD),"")</f>
        <v>0</v>
      </c>
      <c r="L43" s="104">
        <f>IFERROR(_xlfn.XLOOKUP($A43,'Raw Data'!$G:$G,'Raw Data'!AE:AE),"")</f>
        <v>44.38</v>
      </c>
      <c r="M43" s="104">
        <f>IFERROR(_xlfn.XLOOKUP($A43,'Raw Data'!$G:$G,'Raw Data'!AF:AF),"")</f>
        <v>0</v>
      </c>
      <c r="N43" s="104">
        <f>IFERROR(_xlfn.XLOOKUP($A43,'Raw Data'!$G:$G,'Raw Data'!AG:AG),"")</f>
        <v>0</v>
      </c>
      <c r="O43" s="105">
        <f>IFERROR(1-SUMIF('Plant BD'!$B:$B,$A43,'Plant BD'!$AM:$AM)/($AA43+SUMIF('Plant BD'!$B:$B,$A43,'Plant BD'!$AM:$AM)),"")</f>
        <v>1</v>
      </c>
      <c r="P43" s="105"/>
      <c r="Q43" s="106"/>
      <c r="R43" s="105">
        <f>IFERROR(1-SUMIF('Grid BD'!$B:$B,$A43,'Grid BD'!$AE:$AE)/($AA43+SUMIF('Grid BD'!$B:$B,$A43,'Grid BD'!$AE:$AE)),"")</f>
        <v>1</v>
      </c>
      <c r="T43" s="106"/>
      <c r="U43" s="107">
        <f t="shared" si="1"/>
        <v>0.7358451885427354</v>
      </c>
      <c r="V43" s="107"/>
      <c r="W43" s="108">
        <f t="shared" si="2"/>
        <v>0.20051781387789538</v>
      </c>
      <c r="X43" s="101">
        <f>IFERROR(_xlfn.XLOOKUP($A43,'Raw Data'!$G:$G,'Raw Data'!AI:AI),"")</f>
        <v>39049.699999999997</v>
      </c>
      <c r="Y43" s="101">
        <f>IFERROR(_xlfn.XLOOKUP($A43,'Raw Data'!$G:$G,'Raw Data'!AJ:AJ),"")</f>
        <v>38699.99999999709</v>
      </c>
      <c r="Z43" s="101">
        <f>IFERROR(_xlfn.XLOOKUP($A43,'Raw Data'!$G:$G,'Raw Data'!AK:AK),"")</f>
        <v>100.00000000002274</v>
      </c>
      <c r="AA43" s="101">
        <f>IFERROR(_xlfn.XLOOKUP($A43,'Raw Data'!$G:$G,'Raw Data'!$AL:$AL)*(1+(_xlfn.XLOOKUP(Table13[[#This Row],[Month Year]],JMR!$A:$A,JMR!$J:$J))),"")</f>
        <v>38599.999999997068</v>
      </c>
      <c r="AB43" s="101">
        <f>IFERROR(_xlfn.XLOOKUP($A43,'Raw Data'!$G:$G,'Raw Data'!H:H),"")</f>
        <v>8.0208999999999993</v>
      </c>
      <c r="AC43" s="67">
        <f>IFERROR(_xlfn.XLOOKUP($D43,'Modelling New'!$D:$D,'Modelling New'!P:P),"")</f>
        <v>6.0129032258064514</v>
      </c>
      <c r="AD43" s="101">
        <f>IFERROR(_xlfn.XLOOKUP($D43,'Modelling New'!$D:$D,'Modelling New'!$T:$T)*1000,"")</f>
        <v>33577.74455581214</v>
      </c>
      <c r="AE43" s="109">
        <f>IFERROR(_xlfn.XLOOKUP($D43,'Modelling New'!$D:$D,'Modelling New'!O:O),"")</f>
        <v>0.69621632879901718</v>
      </c>
      <c r="AF43" s="108">
        <f>IFERROR(_xlfn.XLOOKUP($D43,'Modelling New'!$D:$D,'Modelling New'!W:W),"")</f>
        <v>0.17442839205394728</v>
      </c>
      <c r="AG43" s="108">
        <f>IFERROR(_xlfn.XLOOKUP($D43,'Modelling New'!$D:$D,'Modelling New'!AE:AE),"")</f>
        <v>0.98040000000000005</v>
      </c>
      <c r="AH43" s="128">
        <f>IFERROR(_xlfn.XLOOKUP($D43,'Modelling New'!$D:$D,'Modelling New'!AF:AF),"")</f>
        <v>0.98</v>
      </c>
      <c r="AN43" s="105"/>
      <c r="AO43" s="108"/>
      <c r="AP43" s="108"/>
      <c r="AQ43" s="108"/>
      <c r="AR43" s="101">
        <f>'Basic Data'!$B$98/1000</f>
        <v>8.0208999999999993</v>
      </c>
      <c r="AT43" s="7">
        <f>IFERROR(_xlfn.XLOOKUP(Table13[[#This Row],[Date]],'Raw Data'!$G:$G,'Raw Data'!$AN:$AN),"")</f>
        <v>0</v>
      </c>
      <c r="AU43" s="7">
        <f>IFERROR(_xlfn.XLOOKUP(Table13[[#This Row],[Month Year]],'Modelling New'!$D:$D,'Modelling New'!$AO:$AO),"")</f>
        <v>8</v>
      </c>
      <c r="AV43" s="7">
        <f>SUMIF('Curtailment Records'!$C:$C,Table13[[#This Row],[Date]],'Curtailment Records'!$R:$R)/1000</f>
        <v>0</v>
      </c>
    </row>
    <row r="44" spans="1:48" x14ac:dyDescent="0.3">
      <c r="A44" s="100">
        <f t="shared" si="3"/>
        <v>45787</v>
      </c>
      <c r="B44" s="101">
        <f>YEAR(Table13[[#This Row],[Date]])+IF(MONTH(Table13[[#This Row],[Date]])&gt;=4,1,0)</f>
        <v>2026</v>
      </c>
      <c r="C44" s="7">
        <f>YEAR(Table13[[#This Row],[Date]])</f>
        <v>2025</v>
      </c>
      <c r="D44" s="102">
        <f>Table13[[#This Row],[Date]]-DAY(Table13[[#This Row],[Date]])+1</f>
        <v>45778</v>
      </c>
      <c r="E44" s="7">
        <f t="shared" si="0"/>
        <v>31</v>
      </c>
      <c r="F44" s="103">
        <f>IFERROR(_xlfn.XLOOKUP($A44,'Raw Data'!$G:$G,'Raw Data'!$AM:$AM),"")</f>
        <v>12.5</v>
      </c>
      <c r="G44" s="104">
        <f>IFERROR(_xlfn.XLOOKUP($A44,'Raw Data'!$G:$G,'Raw Data'!$AB:$AB),"")</f>
        <v>0</v>
      </c>
      <c r="H44" s="104"/>
      <c r="I44" s="104">
        <f>IFERROR(_xlfn.XLOOKUP($A44,'Raw Data'!$G:$G,'Raw Data'!$AC:$AC),"")</f>
        <v>4.9800000000000004</v>
      </c>
      <c r="J44" s="104"/>
      <c r="K44" s="104">
        <f>IFERROR(_xlfn.XLOOKUP($A44,'Raw Data'!$G:$G,'Raw Data'!AD:AD),"")</f>
        <v>0</v>
      </c>
      <c r="L44" s="104">
        <f>IFERROR(_xlfn.XLOOKUP($A44,'Raw Data'!$G:$G,'Raw Data'!AE:AE),"")</f>
        <v>42.32</v>
      </c>
      <c r="M44" s="104">
        <f>IFERROR(_xlfn.XLOOKUP($A44,'Raw Data'!$G:$G,'Raw Data'!AF:AF),"")</f>
        <v>0</v>
      </c>
      <c r="N44" s="104">
        <f>IFERROR(_xlfn.XLOOKUP($A44,'Raw Data'!$G:$G,'Raw Data'!AG:AG),"")</f>
        <v>0</v>
      </c>
      <c r="O44" s="105">
        <f>IFERROR(1-SUMIF('Plant BD'!$B:$B,$A44,'Plant BD'!$AM:$AM)/($AA44+SUMIF('Plant BD'!$B:$B,$A44,'Plant BD'!$AM:$AM)),"")</f>
        <v>1</v>
      </c>
      <c r="P44" s="105"/>
      <c r="Q44" s="106"/>
      <c r="R44" s="105">
        <f>IFERROR(1-SUMIF('Grid BD'!$B:$B,$A44,'Grid BD'!$AE:$AE)/($AA44+SUMIF('Grid BD'!$B:$B,$A44,'Grid BD'!$AE:$AE)),"")</f>
        <v>1</v>
      </c>
      <c r="T44" s="106"/>
      <c r="U44" s="107">
        <f t="shared" si="1"/>
        <v>0.81864442397256609</v>
      </c>
      <c r="V44" s="107"/>
      <c r="W44" s="108">
        <f t="shared" si="2"/>
        <v>0.16986871797430744</v>
      </c>
      <c r="X44" s="101">
        <f>IFERROR(_xlfn.XLOOKUP($A44,'Raw Data'!$G:$G,'Raw Data'!AI:AI),"")</f>
        <v>33104.300000000003</v>
      </c>
      <c r="Y44" s="101">
        <f>IFERROR(_xlfn.XLOOKUP($A44,'Raw Data'!$G:$G,'Raw Data'!AJ:AJ),"")</f>
        <v>32800.00000000291</v>
      </c>
      <c r="Z44" s="101">
        <f>IFERROR(_xlfn.XLOOKUP($A44,'Raw Data'!$G:$G,'Raw Data'!AK:AK),"")</f>
        <v>99.999999999965894</v>
      </c>
      <c r="AA44" s="101">
        <f>IFERROR(_xlfn.XLOOKUP($A44,'Raw Data'!$G:$G,'Raw Data'!$AL:$AL)*(1+(_xlfn.XLOOKUP(Table13[[#This Row],[Month Year]],JMR!$A:$A,JMR!$J:$J))),"")</f>
        <v>32700.000000002943</v>
      </c>
      <c r="AB44" s="101">
        <f>IFERROR(_xlfn.XLOOKUP($A44,'Raw Data'!$G:$G,'Raw Data'!H:H),"")</f>
        <v>8.0208999999999993</v>
      </c>
      <c r="AC44" s="67">
        <f>IFERROR(_xlfn.XLOOKUP($D44,'Modelling New'!$D:$D,'Modelling New'!P:P),"")</f>
        <v>6.0129032258064514</v>
      </c>
      <c r="AD44" s="101">
        <f>IFERROR(_xlfn.XLOOKUP($D44,'Modelling New'!$D:$D,'Modelling New'!$T:$T)*1000,"")</f>
        <v>33577.74455581214</v>
      </c>
      <c r="AE44" s="109">
        <f>IFERROR(_xlfn.XLOOKUP($D44,'Modelling New'!$D:$D,'Modelling New'!O:O),"")</f>
        <v>0.69621632879901718</v>
      </c>
      <c r="AF44" s="108">
        <f>IFERROR(_xlfn.XLOOKUP($D44,'Modelling New'!$D:$D,'Modelling New'!W:W),"")</f>
        <v>0.17442839205394728</v>
      </c>
      <c r="AG44" s="108">
        <f>IFERROR(_xlfn.XLOOKUP($D44,'Modelling New'!$D:$D,'Modelling New'!AE:AE),"")</f>
        <v>0.98040000000000005</v>
      </c>
      <c r="AH44" s="128">
        <f>IFERROR(_xlfn.XLOOKUP($D44,'Modelling New'!$D:$D,'Modelling New'!AF:AF),"")</f>
        <v>0.98</v>
      </c>
      <c r="AN44" s="105"/>
      <c r="AO44" s="108"/>
      <c r="AP44" s="108"/>
      <c r="AQ44" s="108"/>
      <c r="AR44" s="101">
        <f>'Basic Data'!$B$98/1000</f>
        <v>8.0208999999999993</v>
      </c>
      <c r="AT44" s="7">
        <f>IFERROR(_xlfn.XLOOKUP(Table13[[#This Row],[Date]],'Raw Data'!$G:$G,'Raw Data'!$AN:$AN),"")</f>
        <v>0</v>
      </c>
      <c r="AU44" s="7">
        <f>IFERROR(_xlfn.XLOOKUP(Table13[[#This Row],[Month Year]],'Modelling New'!$D:$D,'Modelling New'!$AO:$AO),"")</f>
        <v>8</v>
      </c>
      <c r="AV44" s="7">
        <f>SUMIF('Curtailment Records'!$C:$C,Table13[[#This Row],[Date]],'Curtailment Records'!$R:$R)/1000</f>
        <v>0</v>
      </c>
    </row>
    <row r="45" spans="1:48" x14ac:dyDescent="0.3">
      <c r="A45" s="100">
        <f t="shared" si="3"/>
        <v>45788</v>
      </c>
      <c r="B45" s="101">
        <f>YEAR(Table13[[#This Row],[Date]])+IF(MONTH(Table13[[#This Row],[Date]])&gt;=4,1,0)</f>
        <v>2026</v>
      </c>
      <c r="C45" s="7">
        <f>YEAR(Table13[[#This Row],[Date]])</f>
        <v>2025</v>
      </c>
      <c r="D45" s="102">
        <f>Table13[[#This Row],[Date]]-DAY(Table13[[#This Row],[Date]])+1</f>
        <v>45778</v>
      </c>
      <c r="E45" s="7">
        <f t="shared" si="0"/>
        <v>31</v>
      </c>
      <c r="F45" s="103">
        <f>IFERROR(_xlfn.XLOOKUP($A45,'Raw Data'!$G:$G,'Raw Data'!$AM:$AM),"")</f>
        <v>12.75</v>
      </c>
      <c r="G45" s="104">
        <f>IFERROR(_xlfn.XLOOKUP($A45,'Raw Data'!$G:$G,'Raw Data'!$AB:$AB),"")</f>
        <v>0</v>
      </c>
      <c r="H45" s="104"/>
      <c r="I45" s="104">
        <f>IFERROR(_xlfn.XLOOKUP($A45,'Raw Data'!$G:$G,'Raw Data'!$AC:$AC),"")</f>
        <v>5.82</v>
      </c>
      <c r="J45" s="104"/>
      <c r="K45" s="104">
        <f>IFERROR(_xlfn.XLOOKUP($A45,'Raw Data'!$G:$G,'Raw Data'!AD:AD),"")</f>
        <v>0</v>
      </c>
      <c r="L45" s="104">
        <f>IFERROR(_xlfn.XLOOKUP($A45,'Raw Data'!$G:$G,'Raw Data'!AE:AE),"")</f>
        <v>43.47</v>
      </c>
      <c r="M45" s="104">
        <f>IFERROR(_xlfn.XLOOKUP($A45,'Raw Data'!$G:$G,'Raw Data'!AF:AF),"")</f>
        <v>0</v>
      </c>
      <c r="N45" s="104">
        <f>IFERROR(_xlfn.XLOOKUP($A45,'Raw Data'!$G:$G,'Raw Data'!AG:AG),"")</f>
        <v>0</v>
      </c>
      <c r="O45" s="105">
        <f>IFERROR(1-SUMIF('Plant BD'!$B:$B,$A45,'Plant BD'!$AM:$AM)/($AA45+SUMIF('Plant BD'!$B:$B,$A45,'Plant BD'!$AM:$AM)),"")</f>
        <v>1</v>
      </c>
      <c r="P45" s="105"/>
      <c r="Q45" s="106"/>
      <c r="R45" s="105">
        <f>IFERROR(1-SUMIF('Grid BD'!$B:$B,$A45,'Grid BD'!$AE:$AE)/($AA45+SUMIF('Grid BD'!$B:$B,$A45,'Grid BD'!$AE:$AE)),"")</f>
        <v>1</v>
      </c>
      <c r="T45" s="106"/>
      <c r="U45" s="107">
        <f t="shared" si="1"/>
        <v>0.72405342760239388</v>
      </c>
      <c r="V45" s="107"/>
      <c r="W45" s="108">
        <f t="shared" si="2"/>
        <v>0.1755829561935805</v>
      </c>
      <c r="X45" s="101">
        <f>IFERROR(_xlfn.XLOOKUP($A45,'Raw Data'!$G:$G,'Raw Data'!AI:AI),"")</f>
        <v>34153.300000000003</v>
      </c>
      <c r="Y45" s="101">
        <f>IFERROR(_xlfn.XLOOKUP($A45,'Raw Data'!$G:$G,'Raw Data'!AJ:AJ),"")</f>
        <v>33899.999999994179</v>
      </c>
      <c r="Z45" s="101">
        <f>IFERROR(_xlfn.XLOOKUP($A45,'Raw Data'!$G:$G,'Raw Data'!AK:AK),"")</f>
        <v>100.00000000002274</v>
      </c>
      <c r="AA45" s="101">
        <f>IFERROR(_xlfn.XLOOKUP($A45,'Raw Data'!$G:$G,'Raw Data'!$AL:$AL)*(1+(_xlfn.XLOOKUP(Table13[[#This Row],[Month Year]],JMR!$A:$A,JMR!$J:$J))),"")</f>
        <v>33799.999999994157</v>
      </c>
      <c r="AB45" s="101">
        <f>IFERROR(_xlfn.XLOOKUP($A45,'Raw Data'!$G:$G,'Raw Data'!H:H),"")</f>
        <v>8.0208999999999993</v>
      </c>
      <c r="AC45" s="67">
        <f>IFERROR(_xlfn.XLOOKUP($D45,'Modelling New'!$D:$D,'Modelling New'!P:P),"")</f>
        <v>6.0129032258064514</v>
      </c>
      <c r="AD45" s="101">
        <f>IFERROR(_xlfn.XLOOKUP($D45,'Modelling New'!$D:$D,'Modelling New'!$T:$T)*1000,"")</f>
        <v>33577.74455581214</v>
      </c>
      <c r="AE45" s="109">
        <f>IFERROR(_xlfn.XLOOKUP($D45,'Modelling New'!$D:$D,'Modelling New'!O:O),"")</f>
        <v>0.69621632879901718</v>
      </c>
      <c r="AF45" s="108">
        <f>IFERROR(_xlfn.XLOOKUP($D45,'Modelling New'!$D:$D,'Modelling New'!W:W),"")</f>
        <v>0.17442839205394728</v>
      </c>
      <c r="AG45" s="108">
        <f>IFERROR(_xlfn.XLOOKUP($D45,'Modelling New'!$D:$D,'Modelling New'!AE:AE),"")</f>
        <v>0.98040000000000005</v>
      </c>
      <c r="AH45" s="128">
        <f>IFERROR(_xlfn.XLOOKUP($D45,'Modelling New'!$D:$D,'Modelling New'!AF:AF),"")</f>
        <v>0.98</v>
      </c>
      <c r="AN45" s="105"/>
      <c r="AO45" s="108"/>
      <c r="AP45" s="108"/>
      <c r="AQ45" s="108"/>
      <c r="AR45" s="101">
        <f>'Basic Data'!$B$98/1000</f>
        <v>8.0208999999999993</v>
      </c>
      <c r="AT45" s="7">
        <f>IFERROR(_xlfn.XLOOKUP(Table13[[#This Row],[Date]],'Raw Data'!$G:$G,'Raw Data'!$AN:$AN),"")</f>
        <v>0</v>
      </c>
      <c r="AU45" s="7">
        <f>IFERROR(_xlfn.XLOOKUP(Table13[[#This Row],[Month Year]],'Modelling New'!$D:$D,'Modelling New'!$AO:$AO),"")</f>
        <v>8</v>
      </c>
      <c r="AV45" s="7">
        <f>SUMIF('Curtailment Records'!$C:$C,Table13[[#This Row],[Date]],'Curtailment Records'!$R:$R)/1000</f>
        <v>0</v>
      </c>
    </row>
    <row r="46" spans="1:48" x14ac:dyDescent="0.3">
      <c r="A46" s="100">
        <f t="shared" si="3"/>
        <v>45789</v>
      </c>
      <c r="B46" s="101">
        <f>YEAR(Table13[[#This Row],[Date]])+IF(MONTH(Table13[[#This Row],[Date]])&gt;=4,1,0)</f>
        <v>2026</v>
      </c>
      <c r="C46" s="7">
        <f>YEAR(Table13[[#This Row],[Date]])</f>
        <v>2025</v>
      </c>
      <c r="D46" s="102">
        <f>Table13[[#This Row],[Date]]-DAY(Table13[[#This Row],[Date]])+1</f>
        <v>45778</v>
      </c>
      <c r="E46" s="7">
        <f t="shared" si="0"/>
        <v>31</v>
      </c>
      <c r="F46" s="103">
        <f>IFERROR(_xlfn.XLOOKUP($A46,'Raw Data'!$G:$G,'Raw Data'!$AM:$AM),"")</f>
        <v>11.866666666666667</v>
      </c>
      <c r="G46" s="104">
        <f>IFERROR(_xlfn.XLOOKUP($A46,'Raw Data'!$G:$G,'Raw Data'!$AB:$AB),"")</f>
        <v>0</v>
      </c>
      <c r="H46" s="104"/>
      <c r="I46" s="104">
        <f>IFERROR(_xlfn.XLOOKUP($A46,'Raw Data'!$G:$G,'Raw Data'!$AC:$AC),"")</f>
        <v>6.33</v>
      </c>
      <c r="J46" s="104"/>
      <c r="K46" s="104">
        <f>IFERROR(_xlfn.XLOOKUP($A46,'Raw Data'!$G:$G,'Raw Data'!AD:AD),"")</f>
        <v>0</v>
      </c>
      <c r="L46" s="104">
        <f>IFERROR(_xlfn.XLOOKUP($A46,'Raw Data'!$G:$G,'Raw Data'!AE:AE),"")</f>
        <v>44.17</v>
      </c>
      <c r="M46" s="104">
        <f>IFERROR(_xlfn.XLOOKUP($A46,'Raw Data'!$G:$G,'Raw Data'!AF:AF),"")</f>
        <v>0</v>
      </c>
      <c r="N46" s="104">
        <f>IFERROR(_xlfn.XLOOKUP($A46,'Raw Data'!$G:$G,'Raw Data'!AG:AG),"")</f>
        <v>0</v>
      </c>
      <c r="O46" s="105">
        <f>IFERROR(1-SUMIF('Plant BD'!$B:$B,$A46,'Plant BD'!$AM:$AM)/($AA46+SUMIF('Plant BD'!$B:$B,$A46,'Plant BD'!$AM:$AM)),"")</f>
        <v>1</v>
      </c>
      <c r="P46" s="105"/>
      <c r="Q46" s="106"/>
      <c r="R46" s="105">
        <f>IFERROR(1-SUMIF('Grid BD'!$B:$B,$A46,'Grid BD'!$AE:$AE)/($AA46+SUMIF('Grid BD'!$B:$B,$A46,'Grid BD'!$AE:$AE)),"")</f>
        <v>1</v>
      </c>
      <c r="T46" s="106"/>
      <c r="U46" s="107">
        <f t="shared" si="1"/>
        <v>0.7799528943906493</v>
      </c>
      <c r="V46" s="107"/>
      <c r="W46" s="108">
        <f t="shared" si="2"/>
        <v>0.20571257589553374</v>
      </c>
      <c r="X46" s="101">
        <f>IFERROR(_xlfn.XLOOKUP($A46,'Raw Data'!$G:$G,'Raw Data'!AI:AI),"")</f>
        <v>39985.699999999997</v>
      </c>
      <c r="Y46" s="101">
        <f>IFERROR(_xlfn.XLOOKUP($A46,'Raw Data'!$G:$G,'Raw Data'!AJ:AJ),"")</f>
        <v>39700.000000011642</v>
      </c>
      <c r="Z46" s="101">
        <f>IFERROR(_xlfn.XLOOKUP($A46,'Raw Data'!$G:$G,'Raw Data'!AK:AK),"")</f>
        <v>99.999999999965894</v>
      </c>
      <c r="AA46" s="101">
        <f>IFERROR(_xlfn.XLOOKUP($A46,'Raw Data'!$G:$G,'Raw Data'!$AL:$AL)*(1+(_xlfn.XLOOKUP(Table13[[#This Row],[Month Year]],JMR!$A:$A,JMR!$J:$J))),"")</f>
        <v>39600.000000011678</v>
      </c>
      <c r="AB46" s="101">
        <f>IFERROR(_xlfn.XLOOKUP($A46,'Raw Data'!$G:$G,'Raw Data'!H:H),"")</f>
        <v>8.0208999999999993</v>
      </c>
      <c r="AC46" s="67">
        <f>IFERROR(_xlfn.XLOOKUP($D46,'Modelling New'!$D:$D,'Modelling New'!P:P),"")</f>
        <v>6.0129032258064514</v>
      </c>
      <c r="AD46" s="101">
        <f>IFERROR(_xlfn.XLOOKUP($D46,'Modelling New'!$D:$D,'Modelling New'!$T:$T)*1000,"")</f>
        <v>33577.74455581214</v>
      </c>
      <c r="AE46" s="109">
        <f>IFERROR(_xlfn.XLOOKUP($D46,'Modelling New'!$D:$D,'Modelling New'!O:O),"")</f>
        <v>0.69621632879901718</v>
      </c>
      <c r="AF46" s="108">
        <f>IFERROR(_xlfn.XLOOKUP($D46,'Modelling New'!$D:$D,'Modelling New'!W:W),"")</f>
        <v>0.17442839205394728</v>
      </c>
      <c r="AG46" s="108">
        <f>IFERROR(_xlfn.XLOOKUP($D46,'Modelling New'!$D:$D,'Modelling New'!AE:AE),"")</f>
        <v>0.98040000000000005</v>
      </c>
      <c r="AH46" s="128">
        <f>IFERROR(_xlfn.XLOOKUP($D46,'Modelling New'!$D:$D,'Modelling New'!AF:AF),"")</f>
        <v>0.98</v>
      </c>
      <c r="AN46" s="105"/>
      <c r="AO46" s="108"/>
      <c r="AP46" s="108"/>
      <c r="AQ46" s="108"/>
      <c r="AR46" s="101">
        <f>'Basic Data'!$B$98/1000</f>
        <v>8.0208999999999993</v>
      </c>
      <c r="AT46" s="7">
        <f>IFERROR(_xlfn.XLOOKUP(Table13[[#This Row],[Date]],'Raw Data'!$G:$G,'Raw Data'!$AN:$AN),"")</f>
        <v>0</v>
      </c>
      <c r="AU46" s="7">
        <f>IFERROR(_xlfn.XLOOKUP(Table13[[#This Row],[Month Year]],'Modelling New'!$D:$D,'Modelling New'!$AO:$AO),"")</f>
        <v>8</v>
      </c>
      <c r="AV46" s="7">
        <f>SUMIF('Curtailment Records'!$C:$C,Table13[[#This Row],[Date]],'Curtailment Records'!$R:$R)/1000</f>
        <v>0</v>
      </c>
    </row>
    <row r="47" spans="1:48" x14ac:dyDescent="0.3">
      <c r="A47" s="100">
        <f t="shared" si="3"/>
        <v>45790</v>
      </c>
      <c r="B47" s="101">
        <f>YEAR(Table13[[#This Row],[Date]])+IF(MONTH(Table13[[#This Row],[Date]])&gt;=4,1,0)</f>
        <v>2026</v>
      </c>
      <c r="C47" s="7">
        <f>YEAR(Table13[[#This Row],[Date]])</f>
        <v>2025</v>
      </c>
      <c r="D47" s="102">
        <f>Table13[[#This Row],[Date]]-DAY(Table13[[#This Row],[Date]])+1</f>
        <v>45778</v>
      </c>
      <c r="E47" s="7">
        <f t="shared" si="0"/>
        <v>31</v>
      </c>
      <c r="F47" s="103">
        <f>IFERROR(_xlfn.XLOOKUP($A47,'Raw Data'!$G:$G,'Raw Data'!$AM:$AM),"")</f>
        <v>12.600000000000001</v>
      </c>
      <c r="G47" s="104">
        <f>IFERROR(_xlfn.XLOOKUP($A47,'Raw Data'!$G:$G,'Raw Data'!$AB:$AB),"")</f>
        <v>0</v>
      </c>
      <c r="H47" s="104"/>
      <c r="I47" s="104">
        <f>IFERROR(_xlfn.XLOOKUP($A47,'Raw Data'!$G:$G,'Raw Data'!$AC:$AC),"")</f>
        <v>5.18</v>
      </c>
      <c r="J47" s="104"/>
      <c r="K47" s="104">
        <f>IFERROR(_xlfn.XLOOKUP($A47,'Raw Data'!$G:$G,'Raw Data'!AD:AD),"")</f>
        <v>0</v>
      </c>
      <c r="L47" s="104">
        <f>IFERROR(_xlfn.XLOOKUP($A47,'Raw Data'!$G:$G,'Raw Data'!AE:AE),"")</f>
        <v>42.05</v>
      </c>
      <c r="M47" s="104">
        <f>IFERROR(_xlfn.XLOOKUP($A47,'Raw Data'!$G:$G,'Raw Data'!AF:AF),"")</f>
        <v>0</v>
      </c>
      <c r="N47" s="104">
        <f>IFERROR(_xlfn.XLOOKUP($A47,'Raw Data'!$G:$G,'Raw Data'!AG:AG),"")</f>
        <v>0</v>
      </c>
      <c r="O47" s="105">
        <f>IFERROR(1-SUMIF('Plant BD'!$B:$B,$A47,'Plant BD'!$AM:$AM)/($AA47+SUMIF('Plant BD'!$B:$B,$A47,'Plant BD'!$AM:$AM)),"")</f>
        <v>1</v>
      </c>
      <c r="P47" s="105"/>
      <c r="Q47" s="106"/>
      <c r="R47" s="105">
        <f>IFERROR(1-SUMIF('Grid BD'!$B:$B,$A47,'Grid BD'!$AE:$AE)/($AA47+SUMIF('Grid BD'!$B:$B,$A47,'Grid BD'!$AE:$AE)),"")</f>
        <v>1</v>
      </c>
      <c r="T47" s="106"/>
      <c r="U47" s="107">
        <f t="shared" si="1"/>
        <v>0.83035964296150955</v>
      </c>
      <c r="V47" s="107"/>
      <c r="W47" s="108">
        <f t="shared" si="2"/>
        <v>0.17921928960585909</v>
      </c>
      <c r="X47" s="101">
        <f>IFERROR(_xlfn.XLOOKUP($A47,'Raw Data'!$G:$G,'Raw Data'!AI:AI),"")</f>
        <v>34932.200000000004</v>
      </c>
      <c r="Y47" s="101">
        <f>IFERROR(_xlfn.XLOOKUP($A47,'Raw Data'!$G:$G,'Raw Data'!AJ:AJ),"")</f>
        <v>34599.999999991269</v>
      </c>
      <c r="Z47" s="101">
        <f>IFERROR(_xlfn.XLOOKUP($A47,'Raw Data'!$G:$G,'Raw Data'!AK:AK),"")</f>
        <v>100.00000000002274</v>
      </c>
      <c r="AA47" s="101">
        <f>IFERROR(_xlfn.XLOOKUP($A47,'Raw Data'!$G:$G,'Raw Data'!$AL:$AL)*(1+(_xlfn.XLOOKUP(Table13[[#This Row],[Month Year]],JMR!$A:$A,JMR!$J:$J))),"")</f>
        <v>34499.999999991247</v>
      </c>
      <c r="AB47" s="101">
        <f>IFERROR(_xlfn.XLOOKUP($A47,'Raw Data'!$G:$G,'Raw Data'!H:H),"")</f>
        <v>8.0208999999999993</v>
      </c>
      <c r="AC47" s="67">
        <f>IFERROR(_xlfn.XLOOKUP($D47,'Modelling New'!$D:$D,'Modelling New'!P:P),"")</f>
        <v>6.0129032258064514</v>
      </c>
      <c r="AD47" s="101">
        <f>IFERROR(_xlfn.XLOOKUP($D47,'Modelling New'!$D:$D,'Modelling New'!$T:$T)*1000,"")</f>
        <v>33577.74455581214</v>
      </c>
      <c r="AE47" s="109">
        <f>IFERROR(_xlfn.XLOOKUP($D47,'Modelling New'!$D:$D,'Modelling New'!O:O),"")</f>
        <v>0.69621632879901718</v>
      </c>
      <c r="AF47" s="108">
        <f>IFERROR(_xlfn.XLOOKUP($D47,'Modelling New'!$D:$D,'Modelling New'!W:W),"")</f>
        <v>0.17442839205394728</v>
      </c>
      <c r="AG47" s="108">
        <f>IFERROR(_xlfn.XLOOKUP($D47,'Modelling New'!$D:$D,'Modelling New'!AE:AE),"")</f>
        <v>0.98040000000000005</v>
      </c>
      <c r="AH47" s="128">
        <f>IFERROR(_xlfn.XLOOKUP($D47,'Modelling New'!$D:$D,'Modelling New'!AF:AF),"")</f>
        <v>0.98</v>
      </c>
      <c r="AN47" s="105"/>
      <c r="AO47" s="108"/>
      <c r="AP47" s="108"/>
      <c r="AQ47" s="108"/>
      <c r="AR47" s="101">
        <f>'Basic Data'!$B$98/1000</f>
        <v>8.0208999999999993</v>
      </c>
      <c r="AT47" s="7">
        <f>IFERROR(_xlfn.XLOOKUP(Table13[[#This Row],[Date]],'Raw Data'!$G:$G,'Raw Data'!$AN:$AN),"")</f>
        <v>0</v>
      </c>
      <c r="AU47" s="7">
        <f>IFERROR(_xlfn.XLOOKUP(Table13[[#This Row],[Month Year]],'Modelling New'!$D:$D,'Modelling New'!$AO:$AO),"")</f>
        <v>8</v>
      </c>
      <c r="AV47" s="7">
        <f>SUMIF('Curtailment Records'!$C:$C,Table13[[#This Row],[Date]],'Curtailment Records'!$R:$R)/1000</f>
        <v>0</v>
      </c>
    </row>
    <row r="48" spans="1:48" x14ac:dyDescent="0.3">
      <c r="A48" s="100">
        <f t="shared" si="3"/>
        <v>45791</v>
      </c>
      <c r="B48" s="101">
        <f>YEAR(Table13[[#This Row],[Date]])+IF(MONTH(Table13[[#This Row],[Date]])&gt;=4,1,0)</f>
        <v>2026</v>
      </c>
      <c r="C48" s="7">
        <f>YEAR(Table13[[#This Row],[Date]])</f>
        <v>2025</v>
      </c>
      <c r="D48" s="102">
        <f>Table13[[#This Row],[Date]]-DAY(Table13[[#This Row],[Date]])+1</f>
        <v>45778</v>
      </c>
      <c r="E48" s="7">
        <f t="shared" si="0"/>
        <v>31</v>
      </c>
      <c r="F48" s="103">
        <f>IFERROR(_xlfn.XLOOKUP($A48,'Raw Data'!$G:$G,'Raw Data'!$AM:$AM),"")</f>
        <v>12.299999999999999</v>
      </c>
      <c r="G48" s="104">
        <f>IFERROR(_xlfn.XLOOKUP($A48,'Raw Data'!$G:$G,'Raw Data'!$AB:$AB),"")</f>
        <v>0</v>
      </c>
      <c r="H48" s="104"/>
      <c r="I48" s="104">
        <f>IFERROR(_xlfn.XLOOKUP($A48,'Raw Data'!$G:$G,'Raw Data'!$AC:$AC),"")</f>
        <v>5.23</v>
      </c>
      <c r="J48" s="104"/>
      <c r="K48" s="104">
        <f>IFERROR(_xlfn.XLOOKUP($A48,'Raw Data'!$G:$G,'Raw Data'!AD:AD),"")</f>
        <v>0</v>
      </c>
      <c r="L48" s="104">
        <f>IFERROR(_xlfn.XLOOKUP($A48,'Raw Data'!$G:$G,'Raw Data'!AE:AE),"")</f>
        <v>41.35</v>
      </c>
      <c r="M48" s="104">
        <f>IFERROR(_xlfn.XLOOKUP($A48,'Raw Data'!$G:$G,'Raw Data'!AF:AF),"")</f>
        <v>0</v>
      </c>
      <c r="N48" s="104">
        <f>IFERROR(_xlfn.XLOOKUP($A48,'Raw Data'!$G:$G,'Raw Data'!AG:AG),"")</f>
        <v>0</v>
      </c>
      <c r="O48" s="105">
        <f>IFERROR(1-SUMIF('Plant BD'!$B:$B,$A48,'Plant BD'!$AM:$AM)/($AA48+SUMIF('Plant BD'!$B:$B,$A48,'Plant BD'!$AM:$AM)),"")</f>
        <v>1</v>
      </c>
      <c r="P48" s="105"/>
      <c r="Q48" s="106"/>
      <c r="R48" s="105">
        <f>IFERROR(1-SUMIF('Grid BD'!$B:$B,$A48,'Grid BD'!$AE:$AE)/($AA48+SUMIF('Grid BD'!$B:$B,$A48,'Grid BD'!$AE:$AE)),"")</f>
        <v>0.99990088056732229</v>
      </c>
      <c r="T48" s="106"/>
      <c r="U48" s="107">
        <f t="shared" si="1"/>
        <v>0.80573440700721732</v>
      </c>
      <c r="V48" s="107"/>
      <c r="W48" s="108">
        <f t="shared" si="2"/>
        <v>0.1755829561936561</v>
      </c>
      <c r="X48" s="101">
        <f>IFERROR(_xlfn.XLOOKUP($A48,'Raw Data'!$G:$G,'Raw Data'!AI:AI),"")</f>
        <v>34215.9</v>
      </c>
      <c r="Y48" s="101">
        <f>IFERROR(_xlfn.XLOOKUP($A48,'Raw Data'!$G:$G,'Raw Data'!AJ:AJ),"")</f>
        <v>33900.000000008731</v>
      </c>
      <c r="Z48" s="101">
        <f>IFERROR(_xlfn.XLOOKUP($A48,'Raw Data'!$G:$G,'Raw Data'!AK:AK),"")</f>
        <v>100.00000000002274</v>
      </c>
      <c r="AA48" s="101">
        <f>IFERROR(_xlfn.XLOOKUP($A48,'Raw Data'!$G:$G,'Raw Data'!$AL:$AL)*(1+(_xlfn.XLOOKUP(Table13[[#This Row],[Month Year]],JMR!$A:$A,JMR!$J:$J))),"")</f>
        <v>33800.000000008709</v>
      </c>
      <c r="AB48" s="101">
        <f>IFERROR(_xlfn.XLOOKUP($A48,'Raw Data'!$G:$G,'Raw Data'!H:H),"")</f>
        <v>8.0208999999999993</v>
      </c>
      <c r="AC48" s="67">
        <f>IFERROR(_xlfn.XLOOKUP($D48,'Modelling New'!$D:$D,'Modelling New'!P:P),"")</f>
        <v>6.0129032258064514</v>
      </c>
      <c r="AD48" s="101">
        <f>IFERROR(_xlfn.XLOOKUP($D48,'Modelling New'!$D:$D,'Modelling New'!$T:$T)*1000,"")</f>
        <v>33577.74455581214</v>
      </c>
      <c r="AE48" s="109">
        <f>IFERROR(_xlfn.XLOOKUP($D48,'Modelling New'!$D:$D,'Modelling New'!O:O),"")</f>
        <v>0.69621632879901718</v>
      </c>
      <c r="AF48" s="108">
        <f>IFERROR(_xlfn.XLOOKUP($D48,'Modelling New'!$D:$D,'Modelling New'!W:W),"")</f>
        <v>0.17442839205394728</v>
      </c>
      <c r="AG48" s="108">
        <f>IFERROR(_xlfn.XLOOKUP($D48,'Modelling New'!$D:$D,'Modelling New'!AE:AE),"")</f>
        <v>0.98040000000000005</v>
      </c>
      <c r="AH48" s="128">
        <f>IFERROR(_xlfn.XLOOKUP($D48,'Modelling New'!$D:$D,'Modelling New'!AF:AF),"")</f>
        <v>0.98</v>
      </c>
      <c r="AN48" s="105"/>
      <c r="AO48" s="108"/>
      <c r="AP48" s="108"/>
      <c r="AQ48" s="108"/>
      <c r="AR48" s="101">
        <f>'Basic Data'!$B$98/1000</f>
        <v>8.0208999999999993</v>
      </c>
      <c r="AT48" s="7">
        <f>IFERROR(_xlfn.XLOOKUP(Table13[[#This Row],[Date]],'Raw Data'!$G:$G,'Raw Data'!$AN:$AN),"")</f>
        <v>0</v>
      </c>
      <c r="AU48" s="7">
        <f>IFERROR(_xlfn.XLOOKUP(Table13[[#This Row],[Month Year]],'Modelling New'!$D:$D,'Modelling New'!$AO:$AO),"")</f>
        <v>8</v>
      </c>
      <c r="AV48" s="7">
        <f>SUMIF('Curtailment Records'!$C:$C,Table13[[#This Row],[Date]],'Curtailment Records'!$R:$R)/1000</f>
        <v>0</v>
      </c>
    </row>
    <row r="49" spans="1:48" x14ac:dyDescent="0.3">
      <c r="A49" s="100">
        <f t="shared" si="3"/>
        <v>45792</v>
      </c>
      <c r="B49" s="101">
        <f>YEAR(Table13[[#This Row],[Date]])+IF(MONTH(Table13[[#This Row],[Date]])&gt;=4,1,0)</f>
        <v>2026</v>
      </c>
      <c r="C49" s="7">
        <f>YEAR(Table13[[#This Row],[Date]])</f>
        <v>2025</v>
      </c>
      <c r="D49" s="102">
        <f>Table13[[#This Row],[Date]]-DAY(Table13[[#This Row],[Date]])+1</f>
        <v>45778</v>
      </c>
      <c r="E49" s="7">
        <f t="shared" si="0"/>
        <v>31</v>
      </c>
      <c r="F49" s="103">
        <f>IFERROR(_xlfn.XLOOKUP($A49,'Raw Data'!$G:$G,'Raw Data'!$AM:$AM),"")</f>
        <v>12.2</v>
      </c>
      <c r="G49" s="104">
        <f>IFERROR(_xlfn.XLOOKUP($A49,'Raw Data'!$G:$G,'Raw Data'!$AB:$AB),"")</f>
        <v>0</v>
      </c>
      <c r="H49" s="104"/>
      <c r="I49" s="104">
        <f>IFERROR(_xlfn.XLOOKUP($A49,'Raw Data'!$G:$G,'Raw Data'!$AC:$AC),"")</f>
        <v>3.03</v>
      </c>
      <c r="J49" s="104"/>
      <c r="K49" s="104">
        <f>IFERROR(_xlfn.XLOOKUP($A49,'Raw Data'!$G:$G,'Raw Data'!AD:AD),"")</f>
        <v>0</v>
      </c>
      <c r="L49" s="104">
        <f>IFERROR(_xlfn.XLOOKUP($A49,'Raw Data'!$G:$G,'Raw Data'!AE:AE),"")</f>
        <v>33.729999999999997</v>
      </c>
      <c r="M49" s="104">
        <f>IFERROR(_xlfn.XLOOKUP($A49,'Raw Data'!$G:$G,'Raw Data'!AF:AF),"")</f>
        <v>0</v>
      </c>
      <c r="N49" s="104">
        <f>IFERROR(_xlfn.XLOOKUP($A49,'Raw Data'!$G:$G,'Raw Data'!AG:AG),"")</f>
        <v>0</v>
      </c>
      <c r="O49" s="105">
        <f>IFERROR(1-SUMIF('Plant BD'!$B:$B,$A49,'Plant BD'!$AM:$AM)/($AA49+SUMIF('Plant BD'!$B:$B,$A49,'Plant BD'!$AM:$AM)),"")</f>
        <v>0.94639374125847275</v>
      </c>
      <c r="P49" s="105"/>
      <c r="Q49" s="106"/>
      <c r="R49" s="105">
        <f>IFERROR(1-SUMIF('Grid BD'!$B:$B,$A49,'Grid BD'!$AE:$AE)/($AA49+SUMIF('Grid BD'!$B:$B,$A49,'Grid BD'!$AE:$AE)),"")</f>
        <v>0.98641357046764933</v>
      </c>
      <c r="T49" s="106"/>
      <c r="U49" s="107">
        <f t="shared" si="1"/>
        <v>0.76738464655429195</v>
      </c>
      <c r="V49" s="107"/>
      <c r="W49" s="108">
        <f t="shared" si="2"/>
        <v>9.6882311627479359E-2</v>
      </c>
      <c r="X49" s="101">
        <f>IFERROR(_xlfn.XLOOKUP($A49,'Raw Data'!$G:$G,'Raw Data'!AI:AI),"")</f>
        <v>19019.399999999998</v>
      </c>
      <c r="Y49" s="101">
        <f>IFERROR(_xlfn.XLOOKUP($A49,'Raw Data'!$G:$G,'Raw Data'!AJ:AJ),"")</f>
        <v>18799.999999988358</v>
      </c>
      <c r="Z49" s="101">
        <f>IFERROR(_xlfn.XLOOKUP($A49,'Raw Data'!$G:$G,'Raw Data'!AK:AK),"")</f>
        <v>149.99999999997726</v>
      </c>
      <c r="AA49" s="101">
        <f>IFERROR(_xlfn.XLOOKUP($A49,'Raw Data'!$G:$G,'Raw Data'!$AL:$AL)*(1+(_xlfn.XLOOKUP(Table13[[#This Row],[Month Year]],JMR!$A:$A,JMR!$J:$J))),"")</f>
        <v>18649.99999998838</v>
      </c>
      <c r="AB49" s="101">
        <f>IFERROR(_xlfn.XLOOKUP($A49,'Raw Data'!$G:$G,'Raw Data'!H:H),"")</f>
        <v>8.0208999999999993</v>
      </c>
      <c r="AC49" s="67">
        <f>IFERROR(_xlfn.XLOOKUP($D49,'Modelling New'!$D:$D,'Modelling New'!P:P),"")</f>
        <v>6.0129032258064514</v>
      </c>
      <c r="AD49" s="101">
        <f>IFERROR(_xlfn.XLOOKUP($D49,'Modelling New'!$D:$D,'Modelling New'!$T:$T)*1000,"")</f>
        <v>33577.74455581214</v>
      </c>
      <c r="AE49" s="109">
        <f>IFERROR(_xlfn.XLOOKUP($D49,'Modelling New'!$D:$D,'Modelling New'!O:O),"")</f>
        <v>0.69621632879901718</v>
      </c>
      <c r="AF49" s="108">
        <f>IFERROR(_xlfn.XLOOKUP($D49,'Modelling New'!$D:$D,'Modelling New'!W:W),"")</f>
        <v>0.17442839205394728</v>
      </c>
      <c r="AG49" s="108">
        <f>IFERROR(_xlfn.XLOOKUP($D49,'Modelling New'!$D:$D,'Modelling New'!AE:AE),"")</f>
        <v>0.98040000000000005</v>
      </c>
      <c r="AH49" s="128">
        <f>IFERROR(_xlfn.XLOOKUP($D49,'Modelling New'!$D:$D,'Modelling New'!AF:AF),"")</f>
        <v>0.98</v>
      </c>
      <c r="AN49" s="105"/>
      <c r="AO49" s="108"/>
      <c r="AP49" s="108"/>
      <c r="AQ49" s="108"/>
      <c r="AR49" s="101">
        <f>'Basic Data'!$B$98/1000</f>
        <v>8.0208999999999993</v>
      </c>
      <c r="AT49" s="7">
        <f>IFERROR(_xlfn.XLOOKUP(Table13[[#This Row],[Date]],'Raw Data'!$G:$G,'Raw Data'!$AN:$AN),"")</f>
        <v>0</v>
      </c>
      <c r="AU49" s="7">
        <f>IFERROR(_xlfn.XLOOKUP(Table13[[#This Row],[Month Year]],'Modelling New'!$D:$D,'Modelling New'!$AO:$AO),"")</f>
        <v>8</v>
      </c>
      <c r="AV49" s="7">
        <f>SUMIF('Curtailment Records'!$C:$C,Table13[[#This Row],[Date]],'Curtailment Records'!$R:$R)/1000</f>
        <v>0</v>
      </c>
    </row>
    <row r="50" spans="1:48" x14ac:dyDescent="0.3">
      <c r="A50" s="100">
        <f t="shared" si="3"/>
        <v>45793</v>
      </c>
      <c r="B50" s="101">
        <f>YEAR(Table13[[#This Row],[Date]])+IF(MONTH(Table13[[#This Row],[Date]])&gt;=4,1,0)</f>
        <v>2026</v>
      </c>
      <c r="C50" s="7">
        <f>YEAR(Table13[[#This Row],[Date]])</f>
        <v>2025</v>
      </c>
      <c r="D50" s="102">
        <f>Table13[[#This Row],[Date]]-DAY(Table13[[#This Row],[Date]])+1</f>
        <v>45778</v>
      </c>
      <c r="E50" s="7">
        <f t="shared" si="0"/>
        <v>31</v>
      </c>
      <c r="F50" s="103">
        <f>IFERROR(_xlfn.XLOOKUP($A50,'Raw Data'!$G:$G,'Raw Data'!$AM:$AM),"")</f>
        <v>12.85</v>
      </c>
      <c r="G50" s="104">
        <f>IFERROR(_xlfn.XLOOKUP($A50,'Raw Data'!$G:$G,'Raw Data'!$AB:$AB),"")</f>
        <v>0</v>
      </c>
      <c r="H50" s="104"/>
      <c r="I50" s="104">
        <f>IFERROR(_xlfn.XLOOKUP($A50,'Raw Data'!$G:$G,'Raw Data'!$AC:$AC),"")</f>
        <v>5.42</v>
      </c>
      <c r="J50" s="104"/>
      <c r="K50" s="104">
        <f>IFERROR(_xlfn.XLOOKUP($A50,'Raw Data'!$G:$G,'Raw Data'!AD:AD),"")</f>
        <v>0</v>
      </c>
      <c r="L50" s="104">
        <f>IFERROR(_xlfn.XLOOKUP($A50,'Raw Data'!$G:$G,'Raw Data'!AE:AE),"")</f>
        <v>41.83</v>
      </c>
      <c r="M50" s="104">
        <f>IFERROR(_xlfn.XLOOKUP($A50,'Raw Data'!$G:$G,'Raw Data'!AF:AF),"")</f>
        <v>0</v>
      </c>
      <c r="N50" s="104">
        <f>IFERROR(_xlfn.XLOOKUP($A50,'Raw Data'!$G:$G,'Raw Data'!AG:AG),"")</f>
        <v>0</v>
      </c>
      <c r="O50" s="105">
        <f>IFERROR(1-SUMIF('Plant BD'!$B:$B,$A50,'Plant BD'!$AM:$AM)/($AA50+SUMIF('Plant BD'!$B:$B,$A50,'Plant BD'!$AM:$AM)),"")</f>
        <v>0.90578817219233188</v>
      </c>
      <c r="P50" s="105"/>
      <c r="Q50" s="106"/>
      <c r="R50" s="105">
        <f>IFERROR(1-SUMIF('Grid BD'!$B:$B,$A50,'Grid BD'!$AE:$AE)/($AA50+SUMIF('Grid BD'!$B:$B,$A50,'Grid BD'!$AE:$AE)),"")</f>
        <v>0.96481439839518013</v>
      </c>
      <c r="T50" s="106"/>
      <c r="U50" s="107">
        <f t="shared" si="1"/>
        <v>0.67627750545979026</v>
      </c>
      <c r="V50" s="107"/>
      <c r="W50" s="108">
        <f t="shared" si="2"/>
        <v>0.15272600331633596</v>
      </c>
      <c r="X50" s="101">
        <f>IFERROR(_xlfn.XLOOKUP($A50,'Raw Data'!$G:$G,'Raw Data'!AI:AI),"")</f>
        <v>29638</v>
      </c>
      <c r="Y50" s="101">
        <f>IFERROR(_xlfn.XLOOKUP($A50,'Raw Data'!$G:$G,'Raw Data'!AJ:AJ),"")</f>
        <v>29500</v>
      </c>
      <c r="Z50" s="101">
        <f>IFERROR(_xlfn.XLOOKUP($A50,'Raw Data'!$G:$G,'Raw Data'!AK:AK),"")</f>
        <v>100.00000000002274</v>
      </c>
      <c r="AA50" s="101">
        <f>IFERROR(_xlfn.XLOOKUP($A50,'Raw Data'!$G:$G,'Raw Data'!$AL:$AL)*(1+(_xlfn.XLOOKUP(Table13[[#This Row],[Month Year]],JMR!$A:$A,JMR!$J:$J))),"")</f>
        <v>29399.999999999978</v>
      </c>
      <c r="AB50" s="101">
        <f>IFERROR(_xlfn.XLOOKUP($A50,'Raw Data'!$G:$G,'Raw Data'!H:H),"")</f>
        <v>8.0208999999999993</v>
      </c>
      <c r="AC50" s="67">
        <f>IFERROR(_xlfn.XLOOKUP($D50,'Modelling New'!$D:$D,'Modelling New'!P:P),"")</f>
        <v>6.0129032258064514</v>
      </c>
      <c r="AD50" s="101">
        <f>IFERROR(_xlfn.XLOOKUP($D50,'Modelling New'!$D:$D,'Modelling New'!$T:$T)*1000,"")</f>
        <v>33577.74455581214</v>
      </c>
      <c r="AE50" s="109">
        <f>IFERROR(_xlfn.XLOOKUP($D50,'Modelling New'!$D:$D,'Modelling New'!O:O),"")</f>
        <v>0.69621632879901718</v>
      </c>
      <c r="AF50" s="108">
        <f>IFERROR(_xlfn.XLOOKUP($D50,'Modelling New'!$D:$D,'Modelling New'!W:W),"")</f>
        <v>0.17442839205394728</v>
      </c>
      <c r="AG50" s="108">
        <f>IFERROR(_xlfn.XLOOKUP($D50,'Modelling New'!$D:$D,'Modelling New'!AE:AE),"")</f>
        <v>0.98040000000000005</v>
      </c>
      <c r="AH50" s="128">
        <f>IFERROR(_xlfn.XLOOKUP($D50,'Modelling New'!$D:$D,'Modelling New'!AF:AF),"")</f>
        <v>0.98</v>
      </c>
      <c r="AN50" s="105"/>
      <c r="AO50" s="108"/>
      <c r="AP50" s="108"/>
      <c r="AQ50" s="108"/>
      <c r="AR50" s="101">
        <f>'Basic Data'!$B$98/1000</f>
        <v>8.0208999999999993</v>
      </c>
      <c r="AT50" s="7">
        <f>IFERROR(_xlfn.XLOOKUP(Table13[[#This Row],[Date]],'Raw Data'!$G:$G,'Raw Data'!$AN:$AN),"")</f>
        <v>0</v>
      </c>
      <c r="AU50" s="7">
        <f>IFERROR(_xlfn.XLOOKUP(Table13[[#This Row],[Month Year]],'Modelling New'!$D:$D,'Modelling New'!$AO:$AO),"")</f>
        <v>8</v>
      </c>
      <c r="AV50" s="7">
        <f>SUMIF('Curtailment Records'!$C:$C,Table13[[#This Row],[Date]],'Curtailment Records'!$R:$R)/1000</f>
        <v>0</v>
      </c>
    </row>
    <row r="51" spans="1:48" x14ac:dyDescent="0.3">
      <c r="A51" s="100">
        <f t="shared" si="3"/>
        <v>45794</v>
      </c>
      <c r="B51" s="101">
        <f>YEAR(Table13[[#This Row],[Date]])+IF(MONTH(Table13[[#This Row],[Date]])&gt;=4,1,0)</f>
        <v>2026</v>
      </c>
      <c r="C51" s="7">
        <f>YEAR(Table13[[#This Row],[Date]])</f>
        <v>2025</v>
      </c>
      <c r="D51" s="102">
        <f>Table13[[#This Row],[Date]]-DAY(Table13[[#This Row],[Date]])+1</f>
        <v>45778</v>
      </c>
      <c r="E51" s="7">
        <f t="shared" si="0"/>
        <v>31</v>
      </c>
      <c r="F51" s="103">
        <f>IFERROR(_xlfn.XLOOKUP($A51,'Raw Data'!$G:$G,'Raw Data'!$AM:$AM),"")</f>
        <v>12.8</v>
      </c>
      <c r="G51" s="104">
        <f>IFERROR(_xlfn.XLOOKUP($A51,'Raw Data'!$G:$G,'Raw Data'!$AB:$AB),"")</f>
        <v>0</v>
      </c>
      <c r="H51" s="104"/>
      <c r="I51" s="104">
        <f>IFERROR(_xlfn.XLOOKUP($A51,'Raw Data'!$G:$G,'Raw Data'!$AC:$AC),"")</f>
        <v>5.27</v>
      </c>
      <c r="J51" s="104"/>
      <c r="K51" s="104">
        <f>IFERROR(_xlfn.XLOOKUP($A51,'Raw Data'!$G:$G,'Raw Data'!AD:AD),"")</f>
        <v>0</v>
      </c>
      <c r="L51" s="104">
        <f>IFERROR(_xlfn.XLOOKUP($A51,'Raw Data'!$G:$G,'Raw Data'!AE:AE),"")</f>
        <v>40.74</v>
      </c>
      <c r="M51" s="104">
        <f>IFERROR(_xlfn.XLOOKUP($A51,'Raw Data'!$G:$G,'Raw Data'!AF:AF),"")</f>
        <v>0</v>
      </c>
      <c r="N51" s="104">
        <f>IFERROR(_xlfn.XLOOKUP($A51,'Raw Data'!$G:$G,'Raw Data'!AG:AG),"")</f>
        <v>0</v>
      </c>
      <c r="O51" s="105">
        <f>IFERROR(1-SUMIF('Plant BD'!$B:$B,$A51,'Plant BD'!$AM:$AM)/($AA51+SUMIF('Plant BD'!$B:$B,$A51,'Plant BD'!$AM:$AM)),"")</f>
        <v>1</v>
      </c>
      <c r="P51" s="105"/>
      <c r="Q51" s="106"/>
      <c r="R51" s="105">
        <f>IFERROR(1-SUMIF('Grid BD'!$B:$B,$A51,'Grid BD'!$AE:$AE)/($AA51+SUMIF('Grid BD'!$B:$B,$A51,'Grid BD'!$AE:$AE)),"")</f>
        <v>0.97600502638846731</v>
      </c>
      <c r="T51" s="106"/>
      <c r="U51" s="107">
        <f t="shared" si="1"/>
        <v>0.75230405537092149</v>
      </c>
      <c r="V51" s="107"/>
      <c r="W51" s="108">
        <f t="shared" si="2"/>
        <v>0.16519343215853147</v>
      </c>
      <c r="X51" s="101">
        <f>IFERROR(_xlfn.XLOOKUP($A51,'Raw Data'!$G:$G,'Raw Data'!AI:AI),"")</f>
        <v>32209.8</v>
      </c>
      <c r="Y51" s="101">
        <f>IFERROR(_xlfn.XLOOKUP($A51,'Raw Data'!$G:$G,'Raw Data'!AJ:AJ),"")</f>
        <v>31900.000000008731</v>
      </c>
      <c r="Z51" s="101">
        <f>IFERROR(_xlfn.XLOOKUP($A51,'Raw Data'!$G:$G,'Raw Data'!AK:AK),"")</f>
        <v>99.999999999965894</v>
      </c>
      <c r="AA51" s="101">
        <f>IFERROR(_xlfn.XLOOKUP($A51,'Raw Data'!$G:$G,'Raw Data'!$AL:$AL)*(1+(_xlfn.XLOOKUP(Table13[[#This Row],[Month Year]],JMR!$A:$A,JMR!$J:$J))),"")</f>
        <v>31800.000000008764</v>
      </c>
      <c r="AB51" s="101">
        <f>IFERROR(_xlfn.XLOOKUP($A51,'Raw Data'!$G:$G,'Raw Data'!H:H),"")</f>
        <v>8.0208999999999993</v>
      </c>
      <c r="AC51" s="67">
        <f>IFERROR(_xlfn.XLOOKUP($D51,'Modelling New'!$D:$D,'Modelling New'!P:P),"")</f>
        <v>6.0129032258064514</v>
      </c>
      <c r="AD51" s="101">
        <f>IFERROR(_xlfn.XLOOKUP($D51,'Modelling New'!$D:$D,'Modelling New'!$T:$T)*1000,"")</f>
        <v>33577.74455581214</v>
      </c>
      <c r="AE51" s="109">
        <f>IFERROR(_xlfn.XLOOKUP($D51,'Modelling New'!$D:$D,'Modelling New'!O:O),"")</f>
        <v>0.69621632879901718</v>
      </c>
      <c r="AF51" s="108">
        <f>IFERROR(_xlfn.XLOOKUP($D51,'Modelling New'!$D:$D,'Modelling New'!W:W),"")</f>
        <v>0.17442839205394728</v>
      </c>
      <c r="AG51" s="108">
        <f>IFERROR(_xlfn.XLOOKUP($D51,'Modelling New'!$D:$D,'Modelling New'!AE:AE),"")</f>
        <v>0.98040000000000005</v>
      </c>
      <c r="AH51" s="128">
        <f>IFERROR(_xlfn.XLOOKUP($D51,'Modelling New'!$D:$D,'Modelling New'!AF:AF),"")</f>
        <v>0.98</v>
      </c>
      <c r="AN51" s="105"/>
      <c r="AO51" s="108"/>
      <c r="AP51" s="108"/>
      <c r="AQ51" s="108"/>
      <c r="AR51" s="101">
        <f>'Basic Data'!$B$98/1000</f>
        <v>8.0208999999999993</v>
      </c>
      <c r="AT51" s="7">
        <f>IFERROR(_xlfn.XLOOKUP(Table13[[#This Row],[Date]],'Raw Data'!$G:$G,'Raw Data'!$AN:$AN),"")</f>
        <v>0</v>
      </c>
      <c r="AU51" s="7">
        <f>IFERROR(_xlfn.XLOOKUP(Table13[[#This Row],[Month Year]],'Modelling New'!$D:$D,'Modelling New'!$AO:$AO),"")</f>
        <v>8</v>
      </c>
      <c r="AV51" s="7">
        <f>SUMIF('Curtailment Records'!$C:$C,Table13[[#This Row],[Date]],'Curtailment Records'!$R:$R)/1000</f>
        <v>0</v>
      </c>
    </row>
    <row r="52" spans="1:48" x14ac:dyDescent="0.3">
      <c r="A52" s="100">
        <f t="shared" si="3"/>
        <v>45795</v>
      </c>
      <c r="B52" s="101">
        <f>YEAR(Table13[[#This Row],[Date]])+IF(MONTH(Table13[[#This Row],[Date]])&gt;=4,1,0)</f>
        <v>2026</v>
      </c>
      <c r="C52" s="7">
        <f>YEAR(Table13[[#This Row],[Date]])</f>
        <v>2025</v>
      </c>
      <c r="D52" s="102">
        <f>Table13[[#This Row],[Date]]-DAY(Table13[[#This Row],[Date]])+1</f>
        <v>45778</v>
      </c>
      <c r="E52" s="7">
        <f t="shared" si="0"/>
        <v>31</v>
      </c>
      <c r="F52" s="103">
        <f>IFERROR(_xlfn.XLOOKUP($A52,'Raw Data'!$G:$G,'Raw Data'!$AM:$AM),"")</f>
        <v>12.65</v>
      </c>
      <c r="G52" s="104">
        <f>IFERROR(_xlfn.XLOOKUP($A52,'Raw Data'!$G:$G,'Raw Data'!$AB:$AB),"")</f>
        <v>0</v>
      </c>
      <c r="H52" s="104"/>
      <c r="I52" s="104">
        <f>IFERROR(_xlfn.XLOOKUP($A52,'Raw Data'!$G:$G,'Raw Data'!$AC:$AC),"")</f>
        <v>5.23</v>
      </c>
      <c r="J52" s="104"/>
      <c r="K52" s="104">
        <f>IFERROR(_xlfn.XLOOKUP($A52,'Raw Data'!$G:$G,'Raw Data'!AD:AD),"")</f>
        <v>0</v>
      </c>
      <c r="L52" s="104">
        <f>IFERROR(_xlfn.XLOOKUP($A52,'Raw Data'!$G:$G,'Raw Data'!AE:AE),"")</f>
        <v>41.05</v>
      </c>
      <c r="M52" s="104">
        <f>IFERROR(_xlfn.XLOOKUP($A52,'Raw Data'!$G:$G,'Raw Data'!AF:AF),"")</f>
        <v>0</v>
      </c>
      <c r="N52" s="104">
        <f>IFERROR(_xlfn.XLOOKUP($A52,'Raw Data'!$G:$G,'Raw Data'!AG:AG),"")</f>
        <v>0</v>
      </c>
      <c r="O52" s="105">
        <f>IFERROR(1-SUMIF('Plant BD'!$B:$B,$A52,'Plant BD'!$AM:$AM)/($AA52+SUMIF('Plant BD'!$B:$B,$A52,'Plant BD'!$AM:$AM)),"")</f>
        <v>1</v>
      </c>
      <c r="P52" s="105"/>
      <c r="Q52" s="106"/>
      <c r="R52" s="105">
        <f>IFERROR(1-SUMIF('Grid BD'!$B:$B,$A52,'Grid BD'!$AE:$AE)/($AA52+SUMIF('Grid BD'!$B:$B,$A52,'Grid BD'!$AE:$AE)),"")</f>
        <v>0.67764539941476098</v>
      </c>
      <c r="T52" s="106"/>
      <c r="U52" s="107">
        <f t="shared" si="1"/>
        <v>0.51490719501032678</v>
      </c>
      <c r="V52" s="107"/>
      <c r="W52" s="108">
        <f t="shared" si="2"/>
        <v>0.11220685957933371</v>
      </c>
      <c r="X52" s="101">
        <f>IFERROR(_xlfn.XLOOKUP($A52,'Raw Data'!$G:$G,'Raw Data'!AI:AI),"")</f>
        <v>21889.199999999997</v>
      </c>
      <c r="Y52" s="101">
        <f>IFERROR(_xlfn.XLOOKUP($A52,'Raw Data'!$G:$G,'Raw Data'!AJ:AJ),"")</f>
        <v>21699.99999999709</v>
      </c>
      <c r="Z52" s="101">
        <f>IFERROR(_xlfn.XLOOKUP($A52,'Raw Data'!$G:$G,'Raw Data'!AK:AK),"")</f>
        <v>100.00000000002274</v>
      </c>
      <c r="AA52" s="101">
        <f>IFERROR(_xlfn.XLOOKUP($A52,'Raw Data'!$G:$G,'Raw Data'!$AL:$AL)*(1+(_xlfn.XLOOKUP(Table13[[#This Row],[Month Year]],JMR!$A:$A,JMR!$J:$J))),"")</f>
        <v>21599.999999997068</v>
      </c>
      <c r="AB52" s="101">
        <f>IFERROR(_xlfn.XLOOKUP($A52,'Raw Data'!$G:$G,'Raw Data'!H:H),"")</f>
        <v>8.0208999999999993</v>
      </c>
      <c r="AC52" s="67">
        <f>IFERROR(_xlfn.XLOOKUP($D52,'Modelling New'!$D:$D,'Modelling New'!P:P),"")</f>
        <v>6.0129032258064514</v>
      </c>
      <c r="AD52" s="101">
        <f>IFERROR(_xlfn.XLOOKUP($D52,'Modelling New'!$D:$D,'Modelling New'!$T:$T)*1000,"")</f>
        <v>33577.74455581214</v>
      </c>
      <c r="AE52" s="109">
        <f>IFERROR(_xlfn.XLOOKUP($D52,'Modelling New'!$D:$D,'Modelling New'!O:O),"")</f>
        <v>0.69621632879901718</v>
      </c>
      <c r="AF52" s="108">
        <f>IFERROR(_xlfn.XLOOKUP($D52,'Modelling New'!$D:$D,'Modelling New'!W:W),"")</f>
        <v>0.17442839205394728</v>
      </c>
      <c r="AG52" s="108">
        <f>IFERROR(_xlfn.XLOOKUP($D52,'Modelling New'!$D:$D,'Modelling New'!AE:AE),"")</f>
        <v>0.98040000000000005</v>
      </c>
      <c r="AH52" s="128">
        <f>IFERROR(_xlfn.XLOOKUP($D52,'Modelling New'!$D:$D,'Modelling New'!AF:AF),"")</f>
        <v>0.98</v>
      </c>
      <c r="AN52" s="105"/>
      <c r="AO52" s="108"/>
      <c r="AP52" s="108"/>
      <c r="AQ52" s="108"/>
      <c r="AR52" s="101">
        <f>'Basic Data'!$B$98/1000</f>
        <v>8.0208999999999993</v>
      </c>
      <c r="AT52" s="7">
        <f>IFERROR(_xlfn.XLOOKUP(Table13[[#This Row],[Date]],'Raw Data'!$G:$G,'Raw Data'!$AN:$AN),"")</f>
        <v>0</v>
      </c>
      <c r="AU52" s="7">
        <f>IFERROR(_xlfn.XLOOKUP(Table13[[#This Row],[Month Year]],'Modelling New'!$D:$D,'Modelling New'!$AO:$AO),"")</f>
        <v>8</v>
      </c>
      <c r="AV52" s="7">
        <f>SUMIF('Curtailment Records'!$C:$C,Table13[[#This Row],[Date]],'Curtailment Records'!$R:$R)/1000</f>
        <v>0</v>
      </c>
    </row>
    <row r="53" spans="1:48" x14ac:dyDescent="0.3">
      <c r="A53" s="100">
        <f t="shared" si="3"/>
        <v>45796</v>
      </c>
      <c r="B53" s="101">
        <f>YEAR(Table13[[#This Row],[Date]])+IF(MONTH(Table13[[#This Row],[Date]])&gt;=4,1,0)</f>
        <v>2026</v>
      </c>
      <c r="C53" s="7">
        <f>YEAR(Table13[[#This Row],[Date]])</f>
        <v>2025</v>
      </c>
      <c r="D53" s="102">
        <f>Table13[[#This Row],[Date]]-DAY(Table13[[#This Row],[Date]])+1</f>
        <v>45778</v>
      </c>
      <c r="E53" s="7">
        <f t="shared" ref="E53:E116" si="4">DAY(EOMONTH(A53,0))</f>
        <v>31</v>
      </c>
      <c r="F53" s="103">
        <f>IFERROR(_xlfn.XLOOKUP($A53,'Raw Data'!$G:$G,'Raw Data'!$AM:$AM),"")</f>
        <v>12.8</v>
      </c>
      <c r="G53" s="104">
        <f>IFERROR(_xlfn.XLOOKUP($A53,'Raw Data'!$G:$G,'Raw Data'!$AB:$AB),"")</f>
        <v>0</v>
      </c>
      <c r="H53" s="104"/>
      <c r="I53" s="104">
        <f>IFERROR(_xlfn.XLOOKUP($A53,'Raw Data'!$G:$G,'Raw Data'!$AC:$AC),"")</f>
        <v>4.91</v>
      </c>
      <c r="J53" s="104"/>
      <c r="K53" s="104">
        <f>IFERROR(_xlfn.XLOOKUP($A53,'Raw Data'!$G:$G,'Raw Data'!AD:AD),"")</f>
        <v>0</v>
      </c>
      <c r="L53" s="104">
        <f>IFERROR(_xlfn.XLOOKUP($A53,'Raw Data'!$G:$G,'Raw Data'!AE:AE),"")</f>
        <v>40.53</v>
      </c>
      <c r="M53" s="104">
        <f>IFERROR(_xlfn.XLOOKUP($A53,'Raw Data'!$G:$G,'Raw Data'!AF:AF),"")</f>
        <v>0</v>
      </c>
      <c r="N53" s="104">
        <f>IFERROR(_xlfn.XLOOKUP($A53,'Raw Data'!$G:$G,'Raw Data'!AG:AG),"")</f>
        <v>0</v>
      </c>
      <c r="O53" s="105">
        <f>IFERROR(1-SUMIF('Plant BD'!$B:$B,$A53,'Plant BD'!$AM:$AM)/($AA53+SUMIF('Plant BD'!$B:$B,$A53,'Plant BD'!$AM:$AM)),"")</f>
        <v>1</v>
      </c>
      <c r="P53" s="105"/>
      <c r="Q53" s="106"/>
      <c r="R53" s="105">
        <f>IFERROR(1-SUMIF('Grid BD'!$B:$B,$A53,'Grid BD'!$AE:$AE)/($AA53+SUMIF('Grid BD'!$B:$B,$A53,'Grid BD'!$AE:$AE)),"")</f>
        <v>0.93035966197904474</v>
      </c>
      <c r="T53" s="106"/>
      <c r="U53" s="107">
        <f t="shared" ref="U53:U116" si="5">IFERROR(AA53/I53/AB53/1000,"")</f>
        <v>0.71605192128037354</v>
      </c>
      <c r="V53" s="107"/>
      <c r="W53" s="108">
        <f t="shared" ref="W53:W116" si="6">IFERROR(AA53/(24*AB53*1000),"")</f>
        <v>0.14649228889527641</v>
      </c>
      <c r="X53" s="101">
        <f>IFERROR(_xlfn.XLOOKUP($A53,'Raw Data'!$G:$G,'Raw Data'!AI:AI),"")</f>
        <v>28476.9</v>
      </c>
      <c r="Y53" s="101">
        <f>IFERROR(_xlfn.XLOOKUP($A53,'Raw Data'!$G:$G,'Raw Data'!AJ:AJ),"")</f>
        <v>28300.00000000291</v>
      </c>
      <c r="Z53" s="101">
        <f>IFERROR(_xlfn.XLOOKUP($A53,'Raw Data'!$G:$G,'Raw Data'!AK:AK),"")</f>
        <v>99.999999999965894</v>
      </c>
      <c r="AA53" s="101">
        <f>IFERROR(_xlfn.XLOOKUP($A53,'Raw Data'!$G:$G,'Raw Data'!$AL:$AL)*(1+(_xlfn.XLOOKUP(Table13[[#This Row],[Month Year]],JMR!$A:$A,JMR!$J:$J))),"")</f>
        <v>28200.000000002943</v>
      </c>
      <c r="AB53" s="101">
        <f>IFERROR(_xlfn.XLOOKUP($A53,'Raw Data'!$G:$G,'Raw Data'!H:H),"")</f>
        <v>8.0208999999999993</v>
      </c>
      <c r="AC53" s="67">
        <f>IFERROR(_xlfn.XLOOKUP($D53,'Modelling New'!$D:$D,'Modelling New'!P:P),"")</f>
        <v>6.0129032258064514</v>
      </c>
      <c r="AD53" s="101">
        <f>IFERROR(_xlfn.XLOOKUP($D53,'Modelling New'!$D:$D,'Modelling New'!$T:$T)*1000,"")</f>
        <v>33577.74455581214</v>
      </c>
      <c r="AE53" s="109">
        <f>IFERROR(_xlfn.XLOOKUP($D53,'Modelling New'!$D:$D,'Modelling New'!O:O),"")</f>
        <v>0.69621632879901718</v>
      </c>
      <c r="AF53" s="108">
        <f>IFERROR(_xlfn.XLOOKUP($D53,'Modelling New'!$D:$D,'Modelling New'!W:W),"")</f>
        <v>0.17442839205394728</v>
      </c>
      <c r="AG53" s="108">
        <f>IFERROR(_xlfn.XLOOKUP($D53,'Modelling New'!$D:$D,'Modelling New'!AE:AE),"")</f>
        <v>0.98040000000000005</v>
      </c>
      <c r="AH53" s="128">
        <f>IFERROR(_xlfn.XLOOKUP($D53,'Modelling New'!$D:$D,'Modelling New'!AF:AF),"")</f>
        <v>0.98</v>
      </c>
      <c r="AN53" s="105"/>
      <c r="AO53" s="108"/>
      <c r="AP53" s="108"/>
      <c r="AQ53" s="108"/>
      <c r="AR53" s="101">
        <f>'Basic Data'!$B$98/1000</f>
        <v>8.0208999999999993</v>
      </c>
      <c r="AT53" s="7">
        <f>IFERROR(_xlfn.XLOOKUP(Table13[[#This Row],[Date]],'Raw Data'!$G:$G,'Raw Data'!$AN:$AN),"")</f>
        <v>0</v>
      </c>
      <c r="AU53" s="7">
        <f>IFERROR(_xlfn.XLOOKUP(Table13[[#This Row],[Month Year]],'Modelling New'!$D:$D,'Modelling New'!$AO:$AO),"")</f>
        <v>8</v>
      </c>
      <c r="AV53" s="7">
        <f>SUMIF('Curtailment Records'!$C:$C,Table13[[#This Row],[Date]],'Curtailment Records'!$R:$R)/1000</f>
        <v>0</v>
      </c>
    </row>
    <row r="54" spans="1:48" x14ac:dyDescent="0.3">
      <c r="A54" s="100">
        <f t="shared" ref="A54:A117" si="7">A53+1</f>
        <v>45797</v>
      </c>
      <c r="B54" s="101">
        <f>YEAR(Table13[[#This Row],[Date]])+IF(MONTH(Table13[[#This Row],[Date]])&gt;=4,1,0)</f>
        <v>2026</v>
      </c>
      <c r="C54" s="7">
        <f>YEAR(Table13[[#This Row],[Date]])</f>
        <v>2025</v>
      </c>
      <c r="D54" s="102">
        <f>Table13[[#This Row],[Date]]-DAY(Table13[[#This Row],[Date]])+1</f>
        <v>45778</v>
      </c>
      <c r="E54" s="7">
        <f t="shared" si="4"/>
        <v>31</v>
      </c>
      <c r="F54" s="103">
        <f>IFERROR(_xlfn.XLOOKUP($A54,'Raw Data'!$G:$G,'Raw Data'!$AM:$AM),"")</f>
        <v>12.716666666666667</v>
      </c>
      <c r="G54" s="104">
        <f>IFERROR(_xlfn.XLOOKUP($A54,'Raw Data'!$G:$G,'Raw Data'!$AB:$AB),"")</f>
        <v>0</v>
      </c>
      <c r="H54" s="104"/>
      <c r="I54" s="104">
        <f>IFERROR(_xlfn.XLOOKUP($A54,'Raw Data'!$G:$G,'Raw Data'!$AC:$AC),"")</f>
        <v>4.84</v>
      </c>
      <c r="J54" s="104"/>
      <c r="K54" s="104">
        <f>IFERROR(_xlfn.XLOOKUP($A54,'Raw Data'!$G:$G,'Raw Data'!AD:AD),"")</f>
        <v>0</v>
      </c>
      <c r="L54" s="104">
        <f>IFERROR(_xlfn.XLOOKUP($A54,'Raw Data'!$G:$G,'Raw Data'!AE:AE),"")</f>
        <v>40.06</v>
      </c>
      <c r="M54" s="104">
        <f>IFERROR(_xlfn.XLOOKUP($A54,'Raw Data'!$G:$G,'Raw Data'!AF:AF),"")</f>
        <v>0</v>
      </c>
      <c r="N54" s="104">
        <f>IFERROR(_xlfn.XLOOKUP($A54,'Raw Data'!$G:$G,'Raw Data'!AG:AG),"")</f>
        <v>0</v>
      </c>
      <c r="O54" s="105">
        <f>IFERROR(1-SUMIF('Plant BD'!$B:$B,$A54,'Plant BD'!$AM:$AM)/($AA54+SUMIF('Plant BD'!$B:$B,$A54,'Plant BD'!$AM:$AM)),"")</f>
        <v>0.98037522916037689</v>
      </c>
      <c r="P54" s="105"/>
      <c r="Q54" s="106"/>
      <c r="R54" s="105">
        <f>IFERROR(1-SUMIF('Grid BD'!$B:$B,$A54,'Grid BD'!$AE:$AE)/($AA54+SUMIF('Grid BD'!$B:$B,$A54,'Grid BD'!$AE:$AE)),"")</f>
        <v>1</v>
      </c>
      <c r="T54" s="106"/>
      <c r="U54" s="107">
        <f t="shared" si="5"/>
        <v>0.77277451500906491</v>
      </c>
      <c r="V54" s="107"/>
      <c r="W54" s="108">
        <f t="shared" si="6"/>
        <v>0.15584286052682808</v>
      </c>
      <c r="X54" s="101">
        <f>IFERROR(_xlfn.XLOOKUP($A54,'Raw Data'!$G:$G,'Raw Data'!AI:AI),"")</f>
        <v>30308.400000000001</v>
      </c>
      <c r="Y54" s="101">
        <f>IFERROR(_xlfn.XLOOKUP($A54,'Raw Data'!$G:$G,'Raw Data'!AJ:AJ),"")</f>
        <v>30099.999999991269</v>
      </c>
      <c r="Z54" s="101">
        <f>IFERROR(_xlfn.XLOOKUP($A54,'Raw Data'!$G:$G,'Raw Data'!AK:AK),"")</f>
        <v>100.00000000002274</v>
      </c>
      <c r="AA54" s="101">
        <f>IFERROR(_xlfn.XLOOKUP($A54,'Raw Data'!$G:$G,'Raw Data'!$AL:$AL)*(1+(_xlfn.XLOOKUP(Table13[[#This Row],[Month Year]],JMR!$A:$A,JMR!$J:$J))),"")</f>
        <v>29999.999999991247</v>
      </c>
      <c r="AB54" s="101">
        <f>IFERROR(_xlfn.XLOOKUP($A54,'Raw Data'!$G:$G,'Raw Data'!H:H),"")</f>
        <v>8.0208999999999993</v>
      </c>
      <c r="AC54" s="67">
        <f>IFERROR(_xlfn.XLOOKUP($D54,'Modelling New'!$D:$D,'Modelling New'!P:P),"")</f>
        <v>6.0129032258064514</v>
      </c>
      <c r="AD54" s="101">
        <f>IFERROR(_xlfn.XLOOKUP($D54,'Modelling New'!$D:$D,'Modelling New'!$T:$T)*1000,"")</f>
        <v>33577.74455581214</v>
      </c>
      <c r="AE54" s="109">
        <f>IFERROR(_xlfn.XLOOKUP($D54,'Modelling New'!$D:$D,'Modelling New'!O:O),"")</f>
        <v>0.69621632879901718</v>
      </c>
      <c r="AF54" s="108">
        <f>IFERROR(_xlfn.XLOOKUP($D54,'Modelling New'!$D:$D,'Modelling New'!W:W),"")</f>
        <v>0.17442839205394728</v>
      </c>
      <c r="AG54" s="108">
        <f>IFERROR(_xlfn.XLOOKUP($D54,'Modelling New'!$D:$D,'Modelling New'!AE:AE),"")</f>
        <v>0.98040000000000005</v>
      </c>
      <c r="AH54" s="128">
        <f>IFERROR(_xlfn.XLOOKUP($D54,'Modelling New'!$D:$D,'Modelling New'!AF:AF),"")</f>
        <v>0.98</v>
      </c>
      <c r="AN54" s="105"/>
      <c r="AO54" s="108"/>
      <c r="AP54" s="108"/>
      <c r="AQ54" s="108"/>
      <c r="AR54" s="101">
        <f>'Basic Data'!$B$98/1000</f>
        <v>8.0208999999999993</v>
      </c>
      <c r="AT54" s="7">
        <f>IFERROR(_xlfn.XLOOKUP(Table13[[#This Row],[Date]],'Raw Data'!$G:$G,'Raw Data'!$AN:$AN),"")</f>
        <v>0</v>
      </c>
      <c r="AU54" s="7">
        <f>IFERROR(_xlfn.XLOOKUP(Table13[[#This Row],[Month Year]],'Modelling New'!$D:$D,'Modelling New'!$AO:$AO),"")</f>
        <v>8</v>
      </c>
      <c r="AV54" s="7">
        <f>SUMIF('Curtailment Records'!$C:$C,Table13[[#This Row],[Date]],'Curtailment Records'!$R:$R)/1000</f>
        <v>0</v>
      </c>
    </row>
    <row r="55" spans="1:48" x14ac:dyDescent="0.3">
      <c r="A55" s="100">
        <f t="shared" si="7"/>
        <v>45798</v>
      </c>
      <c r="B55" s="101">
        <f>YEAR(Table13[[#This Row],[Date]])+IF(MONTH(Table13[[#This Row],[Date]])&gt;=4,1,0)</f>
        <v>2026</v>
      </c>
      <c r="C55" s="7">
        <f>YEAR(Table13[[#This Row],[Date]])</f>
        <v>2025</v>
      </c>
      <c r="D55" s="102">
        <f>Table13[[#This Row],[Date]]-DAY(Table13[[#This Row],[Date]])+1</f>
        <v>45778</v>
      </c>
      <c r="E55" s="7">
        <f t="shared" si="4"/>
        <v>31</v>
      </c>
      <c r="F55" s="103">
        <f>IFERROR(_xlfn.XLOOKUP($A55,'Raw Data'!$G:$G,'Raw Data'!$AM:$AM),"")</f>
        <v>12.833333333333332</v>
      </c>
      <c r="G55" s="104">
        <f>IFERROR(_xlfn.XLOOKUP($A55,'Raw Data'!$G:$G,'Raw Data'!$AB:$AB),"")</f>
        <v>0</v>
      </c>
      <c r="H55" s="104"/>
      <c r="I55" s="104">
        <f>IFERROR(_xlfn.XLOOKUP($A55,'Raw Data'!$G:$G,'Raw Data'!$AC:$AC),"")</f>
        <v>3.26</v>
      </c>
      <c r="J55" s="104"/>
      <c r="K55" s="104">
        <f>IFERROR(_xlfn.XLOOKUP($A55,'Raw Data'!$G:$G,'Raw Data'!AD:AD),"")</f>
        <v>0</v>
      </c>
      <c r="L55" s="104">
        <f>IFERROR(_xlfn.XLOOKUP($A55,'Raw Data'!$G:$G,'Raw Data'!AE:AE),"")</f>
        <v>33.83</v>
      </c>
      <c r="M55" s="104">
        <f>IFERROR(_xlfn.XLOOKUP($A55,'Raw Data'!$G:$G,'Raw Data'!AF:AF),"")</f>
        <v>0</v>
      </c>
      <c r="N55" s="104">
        <f>IFERROR(_xlfn.XLOOKUP($A55,'Raw Data'!$G:$G,'Raw Data'!AG:AG),"")</f>
        <v>0</v>
      </c>
      <c r="O55" s="105">
        <f>IFERROR(1-SUMIF('Plant BD'!$B:$B,$A55,'Plant BD'!$AM:$AM)/($AA55+SUMIF('Plant BD'!$B:$B,$A55,'Plant BD'!$AM:$AM)),"")</f>
        <v>1</v>
      </c>
      <c r="P55" s="105"/>
      <c r="Q55" s="106"/>
      <c r="R55" s="105">
        <f>IFERROR(1-SUMIF('Grid BD'!$B:$B,$A55,'Grid BD'!$AE:$AE)/($AA55+SUMIF('Grid BD'!$B:$B,$A55,'Grid BD'!$AE:$AE)),"")</f>
        <v>0.98494960326195891</v>
      </c>
      <c r="T55" s="106"/>
      <c r="U55" s="107">
        <f t="shared" si="5"/>
        <v>0.76869729977717038</v>
      </c>
      <c r="V55" s="107"/>
      <c r="W55" s="108">
        <f t="shared" si="6"/>
        <v>0.10441471655306563</v>
      </c>
      <c r="X55" s="101">
        <f>IFERROR(_xlfn.XLOOKUP($A55,'Raw Data'!$G:$G,'Raw Data'!AI:AI),"")</f>
        <v>20402.3</v>
      </c>
      <c r="Y55" s="101">
        <f>IFERROR(_xlfn.XLOOKUP($A55,'Raw Data'!$G:$G,'Raw Data'!AJ:AJ),"")</f>
        <v>20200.000000011642</v>
      </c>
      <c r="Z55" s="101">
        <f>IFERROR(_xlfn.XLOOKUP($A55,'Raw Data'!$G:$G,'Raw Data'!AK:AK),"")</f>
        <v>100.00000000002274</v>
      </c>
      <c r="AA55" s="101">
        <f>IFERROR(_xlfn.XLOOKUP($A55,'Raw Data'!$G:$G,'Raw Data'!$AL:$AL)*(1+(_xlfn.XLOOKUP(Table13[[#This Row],[Month Year]],JMR!$A:$A,JMR!$J:$J))),"")</f>
        <v>20100.00000001162</v>
      </c>
      <c r="AB55" s="101">
        <f>IFERROR(_xlfn.XLOOKUP($A55,'Raw Data'!$G:$G,'Raw Data'!H:H),"")</f>
        <v>8.0208999999999993</v>
      </c>
      <c r="AC55" s="67">
        <f>IFERROR(_xlfn.XLOOKUP($D55,'Modelling New'!$D:$D,'Modelling New'!P:P),"")</f>
        <v>6.0129032258064514</v>
      </c>
      <c r="AD55" s="101">
        <f>IFERROR(_xlfn.XLOOKUP($D55,'Modelling New'!$D:$D,'Modelling New'!$T:$T)*1000,"")</f>
        <v>33577.74455581214</v>
      </c>
      <c r="AE55" s="109">
        <f>IFERROR(_xlfn.XLOOKUP($D55,'Modelling New'!$D:$D,'Modelling New'!O:O),"")</f>
        <v>0.69621632879901718</v>
      </c>
      <c r="AF55" s="108">
        <f>IFERROR(_xlfn.XLOOKUP($D55,'Modelling New'!$D:$D,'Modelling New'!W:W),"")</f>
        <v>0.17442839205394728</v>
      </c>
      <c r="AG55" s="108">
        <f>IFERROR(_xlfn.XLOOKUP($D55,'Modelling New'!$D:$D,'Modelling New'!AE:AE),"")</f>
        <v>0.98040000000000005</v>
      </c>
      <c r="AH55" s="128">
        <f>IFERROR(_xlfn.XLOOKUP($D55,'Modelling New'!$D:$D,'Modelling New'!AF:AF),"")</f>
        <v>0.98</v>
      </c>
      <c r="AN55" s="105"/>
      <c r="AO55" s="108"/>
      <c r="AP55" s="108"/>
      <c r="AQ55" s="108"/>
      <c r="AR55" s="101">
        <f>'Basic Data'!$B$98/1000</f>
        <v>8.0208999999999993</v>
      </c>
      <c r="AT55" s="7">
        <f>IFERROR(_xlfn.XLOOKUP(Table13[[#This Row],[Date]],'Raw Data'!$G:$G,'Raw Data'!$AN:$AN),"")</f>
        <v>0</v>
      </c>
      <c r="AU55" s="7">
        <f>IFERROR(_xlfn.XLOOKUP(Table13[[#This Row],[Month Year]],'Modelling New'!$D:$D,'Modelling New'!$AO:$AO),"")</f>
        <v>8</v>
      </c>
      <c r="AV55" s="7">
        <f>SUMIF('Curtailment Records'!$C:$C,Table13[[#This Row],[Date]],'Curtailment Records'!$R:$R)/1000</f>
        <v>0</v>
      </c>
    </row>
    <row r="56" spans="1:48" x14ac:dyDescent="0.3">
      <c r="A56" s="100">
        <f t="shared" si="7"/>
        <v>45799</v>
      </c>
      <c r="B56" s="101">
        <f>YEAR(Table13[[#This Row],[Date]])+IF(MONTH(Table13[[#This Row],[Date]])&gt;=4,1,0)</f>
        <v>2026</v>
      </c>
      <c r="C56" s="7">
        <f>YEAR(Table13[[#This Row],[Date]])</f>
        <v>2025</v>
      </c>
      <c r="D56" s="102">
        <f>Table13[[#This Row],[Date]]-DAY(Table13[[#This Row],[Date]])+1</f>
        <v>45778</v>
      </c>
      <c r="E56" s="7">
        <f t="shared" si="4"/>
        <v>31</v>
      </c>
      <c r="F56" s="103">
        <f>IFERROR(_xlfn.XLOOKUP($A56,'Raw Data'!$G:$G,'Raw Data'!$AM:$AM),"")</f>
        <v>12.533333333333335</v>
      </c>
      <c r="G56" s="104">
        <f>IFERROR(_xlfn.XLOOKUP($A56,'Raw Data'!$G:$G,'Raw Data'!$AB:$AB),"")</f>
        <v>0</v>
      </c>
      <c r="H56" s="104"/>
      <c r="I56" s="104">
        <f>IFERROR(_xlfn.XLOOKUP($A56,'Raw Data'!$G:$G,'Raw Data'!$AC:$AC),"")</f>
        <v>5.56</v>
      </c>
      <c r="J56" s="104"/>
      <c r="K56" s="104">
        <f>IFERROR(_xlfn.XLOOKUP($A56,'Raw Data'!$G:$G,'Raw Data'!AD:AD),"")</f>
        <v>0</v>
      </c>
      <c r="L56" s="104">
        <f>IFERROR(_xlfn.XLOOKUP($A56,'Raw Data'!$G:$G,'Raw Data'!AE:AE),"")</f>
        <v>48.87</v>
      </c>
      <c r="M56" s="104">
        <f>IFERROR(_xlfn.XLOOKUP($A56,'Raw Data'!$G:$G,'Raw Data'!AF:AF),"")</f>
        <v>0</v>
      </c>
      <c r="N56" s="104">
        <f>IFERROR(_xlfn.XLOOKUP($A56,'Raw Data'!$G:$G,'Raw Data'!AG:AG),"")</f>
        <v>0</v>
      </c>
      <c r="O56" s="105">
        <f>IFERROR(1-SUMIF('Plant BD'!$B:$B,$A56,'Plant BD'!$AM:$AM)/($AA56+SUMIF('Plant BD'!$B:$B,$A56,'Plant BD'!$AM:$AM)),"")</f>
        <v>0.99736697558977216</v>
      </c>
      <c r="P56" s="105"/>
      <c r="Q56" s="106"/>
      <c r="R56" s="105">
        <f>IFERROR(1-SUMIF('Grid BD'!$B:$B,$A56,'Grid BD'!$AE:$AE)/($AA56+SUMIF('Grid BD'!$B:$B,$A56,'Grid BD'!$AE:$AE)),"")</f>
        <v>0.82127244314864045</v>
      </c>
      <c r="T56" s="106"/>
      <c r="U56" s="107">
        <f t="shared" si="5"/>
        <v>0.60991738220563341</v>
      </c>
      <c r="V56" s="107"/>
      <c r="W56" s="108">
        <f t="shared" si="6"/>
        <v>0.14129752687763836</v>
      </c>
      <c r="X56" s="101">
        <f>IFERROR(_xlfn.XLOOKUP($A56,'Raw Data'!$G:$G,'Raw Data'!AI:AI),"")</f>
        <v>27545.8</v>
      </c>
      <c r="Y56" s="101">
        <f>IFERROR(_xlfn.XLOOKUP($A56,'Raw Data'!$G:$G,'Raw Data'!AJ:AJ),"")</f>
        <v>27299.999999988358</v>
      </c>
      <c r="Z56" s="101">
        <f>IFERROR(_xlfn.XLOOKUP($A56,'Raw Data'!$G:$G,'Raw Data'!AK:AK),"")</f>
        <v>99.999999999965894</v>
      </c>
      <c r="AA56" s="101">
        <f>IFERROR(_xlfn.XLOOKUP($A56,'Raw Data'!$G:$G,'Raw Data'!$AL:$AL)*(1+(_xlfn.XLOOKUP(Table13[[#This Row],[Month Year]],JMR!$A:$A,JMR!$J:$J))),"")</f>
        <v>27199.999999988391</v>
      </c>
      <c r="AB56" s="101">
        <f>IFERROR(_xlfn.XLOOKUP($A56,'Raw Data'!$G:$G,'Raw Data'!H:H),"")</f>
        <v>8.0208999999999993</v>
      </c>
      <c r="AC56" s="67">
        <f>IFERROR(_xlfn.XLOOKUP($D56,'Modelling New'!$D:$D,'Modelling New'!P:P),"")</f>
        <v>6.0129032258064514</v>
      </c>
      <c r="AD56" s="101">
        <f>IFERROR(_xlfn.XLOOKUP($D56,'Modelling New'!$D:$D,'Modelling New'!$T:$T)*1000,"")</f>
        <v>33577.74455581214</v>
      </c>
      <c r="AE56" s="109">
        <f>IFERROR(_xlfn.XLOOKUP($D56,'Modelling New'!$D:$D,'Modelling New'!O:O),"")</f>
        <v>0.69621632879901718</v>
      </c>
      <c r="AF56" s="108">
        <f>IFERROR(_xlfn.XLOOKUP($D56,'Modelling New'!$D:$D,'Modelling New'!W:W),"")</f>
        <v>0.17442839205394728</v>
      </c>
      <c r="AG56" s="108">
        <f>IFERROR(_xlfn.XLOOKUP($D56,'Modelling New'!$D:$D,'Modelling New'!AE:AE),"")</f>
        <v>0.98040000000000005</v>
      </c>
      <c r="AH56" s="128">
        <f>IFERROR(_xlfn.XLOOKUP($D56,'Modelling New'!$D:$D,'Modelling New'!AF:AF),"")</f>
        <v>0.98</v>
      </c>
      <c r="AN56" s="105"/>
      <c r="AO56" s="108"/>
      <c r="AP56" s="108"/>
      <c r="AQ56" s="108"/>
      <c r="AR56" s="101">
        <f>'Basic Data'!$B$98/1000</f>
        <v>8.0208999999999993</v>
      </c>
      <c r="AT56" s="7">
        <f>IFERROR(_xlfn.XLOOKUP(Table13[[#This Row],[Date]],'Raw Data'!$G:$G,'Raw Data'!$AN:$AN),"")</f>
        <v>0</v>
      </c>
      <c r="AU56" s="7">
        <f>IFERROR(_xlfn.XLOOKUP(Table13[[#This Row],[Month Year]],'Modelling New'!$D:$D,'Modelling New'!$AO:$AO),"")</f>
        <v>8</v>
      </c>
      <c r="AV56" s="7">
        <f>SUMIF('Curtailment Records'!$C:$C,Table13[[#This Row],[Date]],'Curtailment Records'!$R:$R)/1000</f>
        <v>0</v>
      </c>
    </row>
    <row r="57" spans="1:48" x14ac:dyDescent="0.3">
      <c r="A57" s="100">
        <f t="shared" si="7"/>
        <v>45800</v>
      </c>
      <c r="B57" s="101">
        <f>YEAR(Table13[[#This Row],[Date]])+IF(MONTH(Table13[[#This Row],[Date]])&gt;=4,1,0)</f>
        <v>2026</v>
      </c>
      <c r="C57" s="7">
        <f>YEAR(Table13[[#This Row],[Date]])</f>
        <v>2025</v>
      </c>
      <c r="D57" s="102">
        <f>Table13[[#This Row],[Date]]-DAY(Table13[[#This Row],[Date]])+1</f>
        <v>45778</v>
      </c>
      <c r="E57" s="7">
        <f t="shared" si="4"/>
        <v>31</v>
      </c>
      <c r="F57" s="103">
        <f>IFERROR(_xlfn.XLOOKUP($A57,'Raw Data'!$G:$G,'Raw Data'!$AM:$AM),"")</f>
        <v>12.833333333333332</v>
      </c>
      <c r="G57" s="104">
        <f>IFERROR(_xlfn.XLOOKUP($A57,'Raw Data'!$G:$G,'Raw Data'!$AB:$AB),"")</f>
        <v>0</v>
      </c>
      <c r="H57" s="104"/>
      <c r="I57" s="104">
        <f>IFERROR(_xlfn.XLOOKUP($A57,'Raw Data'!$G:$G,'Raw Data'!$AC:$AC),"")</f>
        <v>5.31</v>
      </c>
      <c r="J57" s="104"/>
      <c r="K57" s="104">
        <f>IFERROR(_xlfn.XLOOKUP($A57,'Raw Data'!$G:$G,'Raw Data'!AD:AD),"")</f>
        <v>0</v>
      </c>
      <c r="L57" s="104">
        <f>IFERROR(_xlfn.XLOOKUP($A57,'Raw Data'!$G:$G,'Raw Data'!AE:AE),"")</f>
        <v>36.07</v>
      </c>
      <c r="M57" s="104">
        <f>IFERROR(_xlfn.XLOOKUP($A57,'Raw Data'!$G:$G,'Raw Data'!AF:AF),"")</f>
        <v>0</v>
      </c>
      <c r="N57" s="104">
        <f>IFERROR(_xlfn.XLOOKUP($A57,'Raw Data'!$G:$G,'Raw Data'!AG:AG),"")</f>
        <v>0</v>
      </c>
      <c r="O57" s="105">
        <f>IFERROR(1-SUMIF('Plant BD'!$B:$B,$A57,'Plant BD'!$AM:$AM)/($AA57+SUMIF('Plant BD'!$B:$B,$A57,'Plant BD'!$AM:$AM)),"")</f>
        <v>1</v>
      </c>
      <c r="P57" s="105"/>
      <c r="Q57" s="106"/>
      <c r="R57" s="105">
        <f>IFERROR(1-SUMIF('Grid BD'!$B:$B,$A57,'Grid BD'!$AE:$AE)/($AA57+SUMIF('Grid BD'!$B:$B,$A57,'Grid BD'!$AE:$AE)),"")</f>
        <v>1</v>
      </c>
      <c r="T57" s="106"/>
      <c r="U57" s="107">
        <f t="shared" si="5"/>
        <v>0.76659425931486536</v>
      </c>
      <c r="V57" s="107"/>
      <c r="W57" s="108">
        <f t="shared" si="6"/>
        <v>0.16960897987341392</v>
      </c>
      <c r="X57" s="101">
        <f>IFERROR(_xlfn.XLOOKUP($A57,'Raw Data'!$G:$G,'Raw Data'!AI:AI),"")</f>
        <v>33052.5</v>
      </c>
      <c r="Y57" s="101">
        <f>IFERROR(_xlfn.XLOOKUP($A57,'Raw Data'!$G:$G,'Raw Data'!AJ:AJ),"")</f>
        <v>32750</v>
      </c>
      <c r="Z57" s="101">
        <f>IFERROR(_xlfn.XLOOKUP($A57,'Raw Data'!$G:$G,'Raw Data'!AK:AK),"")</f>
        <v>100.00000000002274</v>
      </c>
      <c r="AA57" s="101">
        <f>IFERROR(_xlfn.XLOOKUP($A57,'Raw Data'!$G:$G,'Raw Data'!$AL:$AL)*(1+(_xlfn.XLOOKUP(Table13[[#This Row],[Month Year]],JMR!$A:$A,JMR!$J:$J))),"")</f>
        <v>32649.999999999978</v>
      </c>
      <c r="AB57" s="101">
        <f>IFERROR(_xlfn.XLOOKUP($A57,'Raw Data'!$G:$G,'Raw Data'!H:H),"")</f>
        <v>8.0208999999999993</v>
      </c>
      <c r="AC57" s="67">
        <f>IFERROR(_xlfn.XLOOKUP($D57,'Modelling New'!$D:$D,'Modelling New'!P:P),"")</f>
        <v>6.0129032258064514</v>
      </c>
      <c r="AD57" s="101">
        <f>IFERROR(_xlfn.XLOOKUP($D57,'Modelling New'!$D:$D,'Modelling New'!$T:$T)*1000,"")</f>
        <v>33577.74455581214</v>
      </c>
      <c r="AE57" s="109">
        <f>IFERROR(_xlfn.XLOOKUP($D57,'Modelling New'!$D:$D,'Modelling New'!O:O),"")</f>
        <v>0.69621632879901718</v>
      </c>
      <c r="AF57" s="108">
        <f>IFERROR(_xlfn.XLOOKUP($D57,'Modelling New'!$D:$D,'Modelling New'!W:W),"")</f>
        <v>0.17442839205394728</v>
      </c>
      <c r="AG57" s="108">
        <f>IFERROR(_xlfn.XLOOKUP($D57,'Modelling New'!$D:$D,'Modelling New'!AE:AE),"")</f>
        <v>0.98040000000000005</v>
      </c>
      <c r="AH57" s="128">
        <f>IFERROR(_xlfn.XLOOKUP($D57,'Modelling New'!$D:$D,'Modelling New'!AF:AF),"")</f>
        <v>0.98</v>
      </c>
      <c r="AN57" s="105"/>
      <c r="AO57" s="108"/>
      <c r="AP57" s="108"/>
      <c r="AQ57" s="108"/>
      <c r="AR57" s="101">
        <f>'Basic Data'!$B$98/1000</f>
        <v>8.0208999999999993</v>
      </c>
      <c r="AT57" s="7">
        <f>IFERROR(_xlfn.XLOOKUP(Table13[[#This Row],[Date]],'Raw Data'!$G:$G,'Raw Data'!$AN:$AN),"")</f>
        <v>0</v>
      </c>
      <c r="AU57" s="7">
        <f>IFERROR(_xlfn.XLOOKUP(Table13[[#This Row],[Month Year]],'Modelling New'!$D:$D,'Modelling New'!$AO:$AO),"")</f>
        <v>8</v>
      </c>
      <c r="AV57" s="7">
        <f>SUMIF('Curtailment Records'!$C:$C,Table13[[#This Row],[Date]],'Curtailment Records'!$R:$R)/1000</f>
        <v>0</v>
      </c>
    </row>
    <row r="58" spans="1:48" x14ac:dyDescent="0.3">
      <c r="A58" s="100">
        <f t="shared" si="7"/>
        <v>45801</v>
      </c>
      <c r="B58" s="101">
        <f>YEAR(Table13[[#This Row],[Date]])+IF(MONTH(Table13[[#This Row],[Date]])&gt;=4,1,0)</f>
        <v>2026</v>
      </c>
      <c r="C58" s="7">
        <f>YEAR(Table13[[#This Row],[Date]])</f>
        <v>2025</v>
      </c>
      <c r="D58" s="102">
        <f>Table13[[#This Row],[Date]]-DAY(Table13[[#This Row],[Date]])+1</f>
        <v>45778</v>
      </c>
      <c r="E58" s="7">
        <f t="shared" si="4"/>
        <v>31</v>
      </c>
      <c r="F58" s="103">
        <f>IFERROR(_xlfn.XLOOKUP($A58,'Raw Data'!$G:$G,'Raw Data'!$AM:$AM),"")</f>
        <v>12.583333333333334</v>
      </c>
      <c r="G58" s="104">
        <f>IFERROR(_xlfn.XLOOKUP($A58,'Raw Data'!$G:$G,'Raw Data'!$AB:$AB),"")</f>
        <v>0</v>
      </c>
      <c r="H58" s="104"/>
      <c r="I58" s="104">
        <f>IFERROR(_xlfn.XLOOKUP($A58,'Raw Data'!$G:$G,'Raw Data'!$AC:$AC),"")</f>
        <v>4.32</v>
      </c>
      <c r="J58" s="104"/>
      <c r="K58" s="104">
        <f>IFERROR(_xlfn.XLOOKUP($A58,'Raw Data'!$G:$G,'Raw Data'!AD:AD),"")</f>
        <v>0</v>
      </c>
      <c r="L58" s="104">
        <f>IFERROR(_xlfn.XLOOKUP($A58,'Raw Data'!$G:$G,'Raw Data'!AE:AE),"")</f>
        <v>34.130000000000003</v>
      </c>
      <c r="M58" s="104">
        <f>IFERROR(_xlfn.XLOOKUP($A58,'Raw Data'!$G:$G,'Raw Data'!AF:AF),"")</f>
        <v>0</v>
      </c>
      <c r="N58" s="104">
        <f>IFERROR(_xlfn.XLOOKUP($A58,'Raw Data'!$G:$G,'Raw Data'!AG:AG),"")</f>
        <v>0</v>
      </c>
      <c r="O58" s="105">
        <f>IFERROR(1-SUMIF('Plant BD'!$B:$B,$A58,'Plant BD'!$AM:$AM)/($AA58+SUMIF('Plant BD'!$B:$B,$A58,'Plant BD'!$AM:$AM)),"")</f>
        <v>1</v>
      </c>
      <c r="P58" s="105"/>
      <c r="Q58" s="106"/>
      <c r="R58" s="105">
        <f>IFERROR(1-SUMIF('Grid BD'!$B:$B,$A58,'Grid BD'!$AE:$AE)/($AA58+SUMIF('Grid BD'!$B:$B,$A58,'Grid BD'!$AE:$AE)),"")</f>
        <v>0.98772013214366661</v>
      </c>
      <c r="T58" s="106"/>
      <c r="U58" s="107">
        <f t="shared" si="5"/>
        <v>0.77777131318512982</v>
      </c>
      <c r="V58" s="107"/>
      <c r="W58" s="108">
        <f t="shared" si="6"/>
        <v>0.13999883637332336</v>
      </c>
      <c r="X58" s="101">
        <f>IFERROR(_xlfn.XLOOKUP($A58,'Raw Data'!$G:$G,'Raw Data'!AI:AI),"")</f>
        <v>27302.799999999999</v>
      </c>
      <c r="Y58" s="101">
        <f>IFERROR(_xlfn.XLOOKUP($A58,'Raw Data'!$G:$G,'Raw Data'!AJ:AJ),"")</f>
        <v>27050.00000000291</v>
      </c>
      <c r="Z58" s="101">
        <f>IFERROR(_xlfn.XLOOKUP($A58,'Raw Data'!$G:$G,'Raw Data'!AK:AK),"")</f>
        <v>99.999999999965894</v>
      </c>
      <c r="AA58" s="101">
        <f>IFERROR(_xlfn.XLOOKUP($A58,'Raw Data'!$G:$G,'Raw Data'!$AL:$AL)*(1+(_xlfn.XLOOKUP(Table13[[#This Row],[Month Year]],JMR!$A:$A,JMR!$J:$J))),"")</f>
        <v>26950.000000002943</v>
      </c>
      <c r="AB58" s="101">
        <f>IFERROR(_xlfn.XLOOKUP($A58,'Raw Data'!$G:$G,'Raw Data'!H:H),"")</f>
        <v>8.0208999999999993</v>
      </c>
      <c r="AC58" s="67">
        <f>IFERROR(_xlfn.XLOOKUP($D58,'Modelling New'!$D:$D,'Modelling New'!P:P),"")</f>
        <v>6.0129032258064514</v>
      </c>
      <c r="AD58" s="101">
        <f>IFERROR(_xlfn.XLOOKUP($D58,'Modelling New'!$D:$D,'Modelling New'!$T:$T)*1000,"")</f>
        <v>33577.74455581214</v>
      </c>
      <c r="AE58" s="109">
        <f>IFERROR(_xlfn.XLOOKUP($D58,'Modelling New'!$D:$D,'Modelling New'!O:O),"")</f>
        <v>0.69621632879901718</v>
      </c>
      <c r="AF58" s="108">
        <f>IFERROR(_xlfn.XLOOKUP($D58,'Modelling New'!$D:$D,'Modelling New'!W:W),"")</f>
        <v>0.17442839205394728</v>
      </c>
      <c r="AG58" s="108">
        <f>IFERROR(_xlfn.XLOOKUP($D58,'Modelling New'!$D:$D,'Modelling New'!AE:AE),"")</f>
        <v>0.98040000000000005</v>
      </c>
      <c r="AH58" s="128">
        <f>IFERROR(_xlfn.XLOOKUP($D58,'Modelling New'!$D:$D,'Modelling New'!AF:AF),"")</f>
        <v>0.98</v>
      </c>
      <c r="AN58" s="105"/>
      <c r="AO58" s="108"/>
      <c r="AP58" s="108"/>
      <c r="AQ58" s="108"/>
      <c r="AR58" s="101">
        <f>'Basic Data'!$B$98/1000</f>
        <v>8.0208999999999993</v>
      </c>
      <c r="AT58" s="7">
        <f>IFERROR(_xlfn.XLOOKUP(Table13[[#This Row],[Date]],'Raw Data'!$G:$G,'Raw Data'!$AN:$AN),"")</f>
        <v>0</v>
      </c>
      <c r="AU58" s="7">
        <f>IFERROR(_xlfn.XLOOKUP(Table13[[#This Row],[Month Year]],'Modelling New'!$D:$D,'Modelling New'!$AO:$AO),"")</f>
        <v>8</v>
      </c>
      <c r="AV58" s="7">
        <f>SUMIF('Curtailment Records'!$C:$C,Table13[[#This Row],[Date]],'Curtailment Records'!$R:$R)/1000</f>
        <v>0</v>
      </c>
    </row>
    <row r="59" spans="1:48" x14ac:dyDescent="0.3">
      <c r="A59" s="100">
        <f t="shared" si="7"/>
        <v>45802</v>
      </c>
      <c r="B59" s="101">
        <f>YEAR(Table13[[#This Row],[Date]])+IF(MONTH(Table13[[#This Row],[Date]])&gt;=4,1,0)</f>
        <v>2026</v>
      </c>
      <c r="C59" s="7">
        <f>YEAR(Table13[[#This Row],[Date]])</f>
        <v>2025</v>
      </c>
      <c r="D59" s="102">
        <f>Table13[[#This Row],[Date]]-DAY(Table13[[#This Row],[Date]])+1</f>
        <v>45778</v>
      </c>
      <c r="E59" s="7">
        <f t="shared" si="4"/>
        <v>31</v>
      </c>
      <c r="F59" s="103">
        <f>IFERROR(_xlfn.XLOOKUP($A59,'Raw Data'!$G:$G,'Raw Data'!$AM:$AM),"")</f>
        <v>12.866666666666667</v>
      </c>
      <c r="G59" s="104">
        <f>IFERROR(_xlfn.XLOOKUP($A59,'Raw Data'!$G:$G,'Raw Data'!$AB:$AB),"")</f>
        <v>0</v>
      </c>
      <c r="H59" s="104"/>
      <c r="I59" s="104">
        <f>IFERROR(_xlfn.XLOOKUP($A59,'Raw Data'!$G:$G,'Raw Data'!$AC:$AC),"")</f>
        <v>3.74</v>
      </c>
      <c r="J59" s="104"/>
      <c r="K59" s="104">
        <f>IFERROR(_xlfn.XLOOKUP($A59,'Raw Data'!$G:$G,'Raw Data'!AD:AD),"")</f>
        <v>0</v>
      </c>
      <c r="L59" s="104">
        <f>IFERROR(_xlfn.XLOOKUP($A59,'Raw Data'!$G:$G,'Raw Data'!AE:AE),"")</f>
        <v>33.6</v>
      </c>
      <c r="M59" s="104">
        <f>IFERROR(_xlfn.XLOOKUP($A59,'Raw Data'!$G:$G,'Raw Data'!AF:AF),"")</f>
        <v>0</v>
      </c>
      <c r="N59" s="104">
        <f>IFERROR(_xlfn.XLOOKUP($A59,'Raw Data'!$G:$G,'Raw Data'!AG:AG),"")</f>
        <v>0</v>
      </c>
      <c r="O59" s="105">
        <f>IFERROR(1-SUMIF('Plant BD'!$B:$B,$A59,'Plant BD'!$AM:$AM)/($AA59+SUMIF('Plant BD'!$B:$B,$A59,'Plant BD'!$AM:$AM)),"")</f>
        <v>0.99441742649554254</v>
      </c>
      <c r="P59" s="105"/>
      <c r="Q59" s="106"/>
      <c r="R59" s="105">
        <f>IFERROR(1-SUMIF('Grid BD'!$B:$B,$A59,'Grid BD'!$AE:$AE)/($AA59+SUMIF('Grid BD'!$B:$B,$A59,'Grid BD'!$AE:$AE)),"")</f>
        <v>0.99809448184554261</v>
      </c>
      <c r="T59" s="106"/>
      <c r="U59" s="107">
        <f t="shared" si="5"/>
        <v>0.78004768691525939</v>
      </c>
      <c r="V59" s="107"/>
      <c r="W59" s="108">
        <f t="shared" si="6"/>
        <v>0.12155743121096124</v>
      </c>
      <c r="X59" s="101">
        <f>IFERROR(_xlfn.XLOOKUP($A59,'Raw Data'!$G:$G,'Raw Data'!AI:AI),"")</f>
        <v>23674.300000000003</v>
      </c>
      <c r="Y59" s="101">
        <f>IFERROR(_xlfn.XLOOKUP($A59,'Raw Data'!$G:$G,'Raw Data'!AJ:AJ),"")</f>
        <v>23500</v>
      </c>
      <c r="Z59" s="101">
        <f>IFERROR(_xlfn.XLOOKUP($A59,'Raw Data'!$G:$G,'Raw Data'!AK:AK),"")</f>
        <v>100.00000000002274</v>
      </c>
      <c r="AA59" s="101">
        <f>IFERROR(_xlfn.XLOOKUP($A59,'Raw Data'!$G:$G,'Raw Data'!$AL:$AL)*(1+(_xlfn.XLOOKUP(Table13[[#This Row],[Month Year]],JMR!$A:$A,JMR!$J:$J))),"")</f>
        <v>23399.999999999978</v>
      </c>
      <c r="AB59" s="101">
        <f>IFERROR(_xlfn.XLOOKUP($A59,'Raw Data'!$G:$G,'Raw Data'!H:H),"")</f>
        <v>8.0208999999999993</v>
      </c>
      <c r="AC59" s="67">
        <f>IFERROR(_xlfn.XLOOKUP($D59,'Modelling New'!$D:$D,'Modelling New'!P:P),"")</f>
        <v>6.0129032258064514</v>
      </c>
      <c r="AD59" s="101">
        <f>IFERROR(_xlfn.XLOOKUP($D59,'Modelling New'!$D:$D,'Modelling New'!$T:$T)*1000,"")</f>
        <v>33577.74455581214</v>
      </c>
      <c r="AE59" s="109">
        <f>IFERROR(_xlfn.XLOOKUP($D59,'Modelling New'!$D:$D,'Modelling New'!O:O),"")</f>
        <v>0.69621632879901718</v>
      </c>
      <c r="AF59" s="108">
        <f>IFERROR(_xlfn.XLOOKUP($D59,'Modelling New'!$D:$D,'Modelling New'!W:W),"")</f>
        <v>0.17442839205394728</v>
      </c>
      <c r="AG59" s="108">
        <f>IFERROR(_xlfn.XLOOKUP($D59,'Modelling New'!$D:$D,'Modelling New'!AE:AE),"")</f>
        <v>0.98040000000000005</v>
      </c>
      <c r="AH59" s="128">
        <f>IFERROR(_xlfn.XLOOKUP($D59,'Modelling New'!$D:$D,'Modelling New'!AF:AF),"")</f>
        <v>0.98</v>
      </c>
      <c r="AN59" s="105"/>
      <c r="AO59" s="108"/>
      <c r="AP59" s="108"/>
      <c r="AQ59" s="108"/>
      <c r="AR59" s="101">
        <f>'Basic Data'!$B$98/1000</f>
        <v>8.0208999999999993</v>
      </c>
      <c r="AT59" s="7">
        <f>IFERROR(_xlfn.XLOOKUP(Table13[[#This Row],[Date]],'Raw Data'!$G:$G,'Raw Data'!$AN:$AN),"")</f>
        <v>0</v>
      </c>
      <c r="AU59" s="7">
        <f>IFERROR(_xlfn.XLOOKUP(Table13[[#This Row],[Month Year]],'Modelling New'!$D:$D,'Modelling New'!$AO:$AO),"")</f>
        <v>8</v>
      </c>
      <c r="AV59" s="7">
        <f>SUMIF('Curtailment Records'!$C:$C,Table13[[#This Row],[Date]],'Curtailment Records'!$R:$R)/1000</f>
        <v>0</v>
      </c>
    </row>
    <row r="60" spans="1:48" x14ac:dyDescent="0.3">
      <c r="A60" s="100">
        <f t="shared" si="7"/>
        <v>45803</v>
      </c>
      <c r="B60" s="101">
        <f>YEAR(Table13[[#This Row],[Date]])+IF(MONTH(Table13[[#This Row],[Date]])&gt;=4,1,0)</f>
        <v>2026</v>
      </c>
      <c r="C60" s="7">
        <f>YEAR(Table13[[#This Row],[Date]])</f>
        <v>2025</v>
      </c>
      <c r="D60" s="102">
        <f>Table13[[#This Row],[Date]]-DAY(Table13[[#This Row],[Date]])+1</f>
        <v>45778</v>
      </c>
      <c r="E60" s="7">
        <f t="shared" si="4"/>
        <v>31</v>
      </c>
      <c r="F60" s="103">
        <f>IFERROR(_xlfn.XLOOKUP($A60,'Raw Data'!$G:$G,'Raw Data'!$AM:$AM),"")</f>
        <v>12.8</v>
      </c>
      <c r="G60" s="104">
        <f>IFERROR(_xlfn.XLOOKUP($A60,'Raw Data'!$G:$G,'Raw Data'!$AB:$AB),"")</f>
        <v>0</v>
      </c>
      <c r="H60" s="104"/>
      <c r="I60" s="104">
        <f>IFERROR(_xlfn.XLOOKUP($A60,'Raw Data'!$G:$G,'Raw Data'!$AC:$AC),"")</f>
        <v>2.88</v>
      </c>
      <c r="J60" s="104"/>
      <c r="K60" s="104">
        <f>IFERROR(_xlfn.XLOOKUP($A60,'Raw Data'!$G:$G,'Raw Data'!AD:AD),"")</f>
        <v>0</v>
      </c>
      <c r="L60" s="104">
        <f>IFERROR(_xlfn.XLOOKUP($A60,'Raw Data'!$G:$G,'Raw Data'!AE:AE),"")</f>
        <v>33.68</v>
      </c>
      <c r="M60" s="104">
        <f>IFERROR(_xlfn.XLOOKUP($A60,'Raw Data'!$G:$G,'Raw Data'!AF:AF),"")</f>
        <v>0</v>
      </c>
      <c r="N60" s="104">
        <f>IFERROR(_xlfn.XLOOKUP($A60,'Raw Data'!$G:$G,'Raw Data'!AG:AG),"")</f>
        <v>0</v>
      </c>
      <c r="O60" s="105">
        <f>IFERROR(1-SUMIF('Plant BD'!$B:$B,$A60,'Plant BD'!$AM:$AM)/($AA60+SUMIF('Plant BD'!$B:$B,$A60,'Plant BD'!$AM:$AM)),"")</f>
        <v>1</v>
      </c>
      <c r="P60" s="105"/>
      <c r="Q60" s="106"/>
      <c r="R60" s="105">
        <f>IFERROR(1-SUMIF('Grid BD'!$B:$B,$A60,'Grid BD'!$AE:$AE)/($AA60+SUMIF('Grid BD'!$B:$B,$A60,'Grid BD'!$AE:$AE)),"")</f>
        <v>0.99409435873606333</v>
      </c>
      <c r="T60" s="106"/>
      <c r="U60" s="107">
        <f t="shared" si="5"/>
        <v>0.81384604941849459</v>
      </c>
      <c r="V60" s="107"/>
      <c r="W60" s="108">
        <f t="shared" si="6"/>
        <v>9.7661525930219331E-2</v>
      </c>
      <c r="X60" s="101">
        <f>IFERROR(_xlfn.XLOOKUP($A60,'Raw Data'!$G:$G,'Raw Data'!AI:AI),"")</f>
        <v>19067.300000000003</v>
      </c>
      <c r="Y60" s="101">
        <f>IFERROR(_xlfn.XLOOKUP($A60,'Raw Data'!$G:$G,'Raw Data'!AJ:AJ),"")</f>
        <v>18900.000000008731</v>
      </c>
      <c r="Z60" s="101">
        <f>IFERROR(_xlfn.XLOOKUP($A60,'Raw Data'!$G:$G,'Raw Data'!AK:AK),"")</f>
        <v>100.00000000002274</v>
      </c>
      <c r="AA60" s="101">
        <f>IFERROR(_xlfn.XLOOKUP($A60,'Raw Data'!$G:$G,'Raw Data'!$AL:$AL)*(1+(_xlfn.XLOOKUP(Table13[[#This Row],[Month Year]],JMR!$A:$A,JMR!$J:$J))),"")</f>
        <v>18800.000000008709</v>
      </c>
      <c r="AB60" s="101">
        <f>IFERROR(_xlfn.XLOOKUP($A60,'Raw Data'!$G:$G,'Raw Data'!H:H),"")</f>
        <v>8.0208999999999993</v>
      </c>
      <c r="AC60" s="67">
        <f>IFERROR(_xlfn.XLOOKUP($D60,'Modelling New'!$D:$D,'Modelling New'!P:P),"")</f>
        <v>6.0129032258064514</v>
      </c>
      <c r="AD60" s="101">
        <f>IFERROR(_xlfn.XLOOKUP($D60,'Modelling New'!$D:$D,'Modelling New'!$T:$T)*1000,"")</f>
        <v>33577.74455581214</v>
      </c>
      <c r="AE60" s="109">
        <f>IFERROR(_xlfn.XLOOKUP($D60,'Modelling New'!$D:$D,'Modelling New'!O:O),"")</f>
        <v>0.69621632879901718</v>
      </c>
      <c r="AF60" s="108">
        <f>IFERROR(_xlfn.XLOOKUP($D60,'Modelling New'!$D:$D,'Modelling New'!W:W),"")</f>
        <v>0.17442839205394728</v>
      </c>
      <c r="AG60" s="108">
        <f>IFERROR(_xlfn.XLOOKUP($D60,'Modelling New'!$D:$D,'Modelling New'!AE:AE),"")</f>
        <v>0.98040000000000005</v>
      </c>
      <c r="AH60" s="128">
        <f>IFERROR(_xlfn.XLOOKUP($D60,'Modelling New'!$D:$D,'Modelling New'!AF:AF),"")</f>
        <v>0.98</v>
      </c>
      <c r="AN60" s="105"/>
      <c r="AO60" s="108"/>
      <c r="AP60" s="108"/>
      <c r="AQ60" s="108"/>
      <c r="AR60" s="101">
        <f>'Basic Data'!$B$98/1000</f>
        <v>8.0208999999999993</v>
      </c>
      <c r="AT60" s="7">
        <f>IFERROR(_xlfn.XLOOKUP(Table13[[#This Row],[Date]],'Raw Data'!$G:$G,'Raw Data'!$AN:$AN),"")</f>
        <v>0</v>
      </c>
      <c r="AU60" s="7">
        <f>IFERROR(_xlfn.XLOOKUP(Table13[[#This Row],[Month Year]],'Modelling New'!$D:$D,'Modelling New'!$AO:$AO),"")</f>
        <v>8</v>
      </c>
      <c r="AV60" s="7">
        <f>SUMIF('Curtailment Records'!$C:$C,Table13[[#This Row],[Date]],'Curtailment Records'!$R:$R)/1000</f>
        <v>0</v>
      </c>
    </row>
    <row r="61" spans="1:48" x14ac:dyDescent="0.3">
      <c r="A61" s="100">
        <f t="shared" si="7"/>
        <v>45804</v>
      </c>
      <c r="B61" s="101">
        <f>YEAR(Table13[[#This Row],[Date]])+IF(MONTH(Table13[[#This Row],[Date]])&gt;=4,1,0)</f>
        <v>2026</v>
      </c>
      <c r="C61" s="7">
        <f>YEAR(Table13[[#This Row],[Date]])</f>
        <v>2025</v>
      </c>
      <c r="D61" s="102">
        <f>Table13[[#This Row],[Date]]-DAY(Table13[[#This Row],[Date]])+1</f>
        <v>45778</v>
      </c>
      <c r="E61" s="7">
        <f t="shared" si="4"/>
        <v>31</v>
      </c>
      <c r="F61" s="103">
        <f>IFERROR(_xlfn.XLOOKUP($A61,'Raw Data'!$G:$G,'Raw Data'!$AM:$AM),"")</f>
        <v>12.583333333333334</v>
      </c>
      <c r="G61" s="104">
        <f>IFERROR(_xlfn.XLOOKUP($A61,'Raw Data'!$G:$G,'Raw Data'!$AB:$AB),"")</f>
        <v>0</v>
      </c>
      <c r="H61" s="104"/>
      <c r="I61" s="104">
        <f>IFERROR(_xlfn.XLOOKUP($A61,'Raw Data'!$G:$G,'Raw Data'!$AC:$AC),"")</f>
        <v>3.04</v>
      </c>
      <c r="J61" s="104"/>
      <c r="K61" s="104">
        <f>IFERROR(_xlfn.XLOOKUP($A61,'Raw Data'!$G:$G,'Raw Data'!AD:AD),"")</f>
        <v>0</v>
      </c>
      <c r="L61" s="104">
        <f>IFERROR(_xlfn.XLOOKUP($A61,'Raw Data'!$G:$G,'Raw Data'!AE:AE),"")</f>
        <v>32.93</v>
      </c>
      <c r="M61" s="104">
        <f>IFERROR(_xlfn.XLOOKUP($A61,'Raw Data'!$G:$G,'Raw Data'!AF:AF),"")</f>
        <v>0</v>
      </c>
      <c r="N61" s="104">
        <f>IFERROR(_xlfn.XLOOKUP($A61,'Raw Data'!$G:$G,'Raw Data'!AG:AG),"")</f>
        <v>0</v>
      </c>
      <c r="O61" s="105">
        <f>IFERROR(1-SUMIF('Plant BD'!$B:$B,$A61,'Plant BD'!$AM:$AM)/($AA61+SUMIF('Plant BD'!$B:$B,$A61,'Plant BD'!$AM:$AM)),"")</f>
        <v>1</v>
      </c>
      <c r="P61" s="105"/>
      <c r="Q61" s="106"/>
      <c r="R61" s="105">
        <f>IFERROR(1-SUMIF('Grid BD'!$B:$B,$A61,'Grid BD'!$AE:$AE)/($AA61+SUMIF('Grid BD'!$B:$B,$A61,'Grid BD'!$AE:$AE)),"")</f>
        <v>0.9723665714681704</v>
      </c>
      <c r="T61" s="106"/>
      <c r="U61" s="107">
        <f t="shared" si="5"/>
        <v>0.80587163404028173</v>
      </c>
      <c r="V61" s="107"/>
      <c r="W61" s="108">
        <f t="shared" si="6"/>
        <v>0.10207707364510234</v>
      </c>
      <c r="X61" s="101">
        <f>IFERROR(_xlfn.XLOOKUP($A61,'Raw Data'!$G:$G,'Raw Data'!AI:AI),"")</f>
        <v>19930.599999999999</v>
      </c>
      <c r="Y61" s="101">
        <f>IFERROR(_xlfn.XLOOKUP($A61,'Raw Data'!$G:$G,'Raw Data'!AJ:AJ),"")</f>
        <v>19750</v>
      </c>
      <c r="Z61" s="101">
        <f>IFERROR(_xlfn.XLOOKUP($A61,'Raw Data'!$G:$G,'Raw Data'!AK:AK),"")</f>
        <v>99.999999999965894</v>
      </c>
      <c r="AA61" s="101">
        <f>IFERROR(_xlfn.XLOOKUP($A61,'Raw Data'!$G:$G,'Raw Data'!$AL:$AL)*(1+(_xlfn.XLOOKUP(Table13[[#This Row],[Month Year]],JMR!$A:$A,JMR!$J:$J))),"")</f>
        <v>19650.000000000033</v>
      </c>
      <c r="AB61" s="101">
        <f>IFERROR(_xlfn.XLOOKUP($A61,'Raw Data'!$G:$G,'Raw Data'!H:H),"")</f>
        <v>8.0208999999999993</v>
      </c>
      <c r="AC61" s="67">
        <f>IFERROR(_xlfn.XLOOKUP($D61,'Modelling New'!$D:$D,'Modelling New'!P:P),"")</f>
        <v>6.0129032258064514</v>
      </c>
      <c r="AD61" s="101">
        <f>IFERROR(_xlfn.XLOOKUP($D61,'Modelling New'!$D:$D,'Modelling New'!$T:$T)*1000,"")</f>
        <v>33577.74455581214</v>
      </c>
      <c r="AE61" s="109">
        <f>IFERROR(_xlfn.XLOOKUP($D61,'Modelling New'!$D:$D,'Modelling New'!O:O),"")</f>
        <v>0.69621632879901718</v>
      </c>
      <c r="AF61" s="108">
        <f>IFERROR(_xlfn.XLOOKUP($D61,'Modelling New'!$D:$D,'Modelling New'!W:W),"")</f>
        <v>0.17442839205394728</v>
      </c>
      <c r="AG61" s="108">
        <f>IFERROR(_xlfn.XLOOKUP($D61,'Modelling New'!$D:$D,'Modelling New'!AE:AE),"")</f>
        <v>0.98040000000000005</v>
      </c>
      <c r="AH61" s="128">
        <f>IFERROR(_xlfn.XLOOKUP($D61,'Modelling New'!$D:$D,'Modelling New'!AF:AF),"")</f>
        <v>0.98</v>
      </c>
      <c r="AN61" s="105"/>
      <c r="AO61" s="108"/>
      <c r="AP61" s="108"/>
      <c r="AQ61" s="108"/>
      <c r="AR61" s="101">
        <f>'Basic Data'!$B$98/1000</f>
        <v>8.0208999999999993</v>
      </c>
      <c r="AT61" s="7">
        <f>IFERROR(_xlfn.XLOOKUP(Table13[[#This Row],[Date]],'Raw Data'!$G:$G,'Raw Data'!$AN:$AN),"")</f>
        <v>0</v>
      </c>
      <c r="AU61" s="7">
        <f>IFERROR(_xlfn.XLOOKUP(Table13[[#This Row],[Month Year]],'Modelling New'!$D:$D,'Modelling New'!$AO:$AO),"")</f>
        <v>8</v>
      </c>
      <c r="AV61" s="7">
        <f>SUMIF('Curtailment Records'!$C:$C,Table13[[#This Row],[Date]],'Curtailment Records'!$R:$R)/1000</f>
        <v>0</v>
      </c>
    </row>
    <row r="62" spans="1:48" x14ac:dyDescent="0.3">
      <c r="A62" s="100">
        <f t="shared" si="7"/>
        <v>45805</v>
      </c>
      <c r="B62" s="101">
        <f>YEAR(Table13[[#This Row],[Date]])+IF(MONTH(Table13[[#This Row],[Date]])&gt;=4,1,0)</f>
        <v>2026</v>
      </c>
      <c r="C62" s="7">
        <f>YEAR(Table13[[#This Row],[Date]])</f>
        <v>2025</v>
      </c>
      <c r="D62" s="102">
        <f>Table13[[#This Row],[Date]]-DAY(Table13[[#This Row],[Date]])+1</f>
        <v>45778</v>
      </c>
      <c r="E62" s="7">
        <f t="shared" si="4"/>
        <v>31</v>
      </c>
      <c r="F62" s="103">
        <f>IFERROR(_xlfn.XLOOKUP($A62,'Raw Data'!$G:$G,'Raw Data'!$AM:$AM),"")</f>
        <v>12.833333333333332</v>
      </c>
      <c r="G62" s="104">
        <f>IFERROR(_xlfn.XLOOKUP($A62,'Raw Data'!$G:$G,'Raw Data'!$AB:$AB),"")</f>
        <v>0</v>
      </c>
      <c r="H62" s="104"/>
      <c r="I62" s="104">
        <f>IFERROR(_xlfn.XLOOKUP($A62,'Raw Data'!$G:$G,'Raw Data'!$AC:$AC),"")</f>
        <v>3.25</v>
      </c>
      <c r="J62" s="104"/>
      <c r="K62" s="104">
        <f>IFERROR(_xlfn.XLOOKUP($A62,'Raw Data'!$G:$G,'Raw Data'!AD:AD),"")</f>
        <v>0</v>
      </c>
      <c r="L62" s="104">
        <f>IFERROR(_xlfn.XLOOKUP($A62,'Raw Data'!$G:$G,'Raw Data'!AE:AE),"")</f>
        <v>32.46</v>
      </c>
      <c r="M62" s="104">
        <f>IFERROR(_xlfn.XLOOKUP($A62,'Raw Data'!$G:$G,'Raw Data'!AF:AF),"")</f>
        <v>0</v>
      </c>
      <c r="N62" s="104">
        <f>IFERROR(_xlfn.XLOOKUP($A62,'Raw Data'!$G:$G,'Raw Data'!AG:AG),"")</f>
        <v>0</v>
      </c>
      <c r="O62" s="105">
        <f>IFERROR(1-SUMIF('Plant BD'!$B:$B,$A62,'Plant BD'!$AM:$AM)/($AA62+SUMIF('Plant BD'!$B:$B,$A62,'Plant BD'!$AM:$AM)),"")</f>
        <v>1</v>
      </c>
      <c r="P62" s="105"/>
      <c r="Q62" s="106"/>
      <c r="R62" s="105">
        <f>IFERROR(1-SUMIF('Grid BD'!$B:$B,$A62,'Grid BD'!$AE:$AE)/($AA62+SUMIF('Grid BD'!$B:$B,$A62,'Grid BD'!$AE:$AE)),"")</f>
        <v>1</v>
      </c>
      <c r="T62" s="106"/>
      <c r="U62" s="107">
        <f t="shared" si="5"/>
        <v>0.84203096333859861</v>
      </c>
      <c r="V62" s="107"/>
      <c r="W62" s="108">
        <f t="shared" si="6"/>
        <v>0.11402502628543522</v>
      </c>
      <c r="X62" s="101">
        <f>IFERROR(_xlfn.XLOOKUP($A62,'Raw Data'!$G:$G,'Raw Data'!AI:AI),"")</f>
        <v>22243</v>
      </c>
      <c r="Y62" s="101">
        <f>IFERROR(_xlfn.XLOOKUP($A62,'Raw Data'!$G:$G,'Raw Data'!AJ:AJ),"")</f>
        <v>22049.999999988358</v>
      </c>
      <c r="Z62" s="101">
        <f>IFERROR(_xlfn.XLOOKUP($A62,'Raw Data'!$G:$G,'Raw Data'!AK:AK),"")</f>
        <v>100.00000000002274</v>
      </c>
      <c r="AA62" s="101">
        <f>IFERROR(_xlfn.XLOOKUP($A62,'Raw Data'!$G:$G,'Raw Data'!$AL:$AL)*(1+(_xlfn.XLOOKUP(Table13[[#This Row],[Month Year]],JMR!$A:$A,JMR!$J:$J))),"")</f>
        <v>21949.999999988337</v>
      </c>
      <c r="AB62" s="101">
        <f>IFERROR(_xlfn.XLOOKUP($A62,'Raw Data'!$G:$G,'Raw Data'!H:H),"")</f>
        <v>8.0208999999999993</v>
      </c>
      <c r="AC62" s="67">
        <f>IFERROR(_xlfn.XLOOKUP($D62,'Modelling New'!$D:$D,'Modelling New'!P:P),"")</f>
        <v>6.0129032258064514</v>
      </c>
      <c r="AD62" s="101">
        <f>IFERROR(_xlfn.XLOOKUP($D62,'Modelling New'!$D:$D,'Modelling New'!$T:$T)*1000,"")</f>
        <v>33577.74455581214</v>
      </c>
      <c r="AE62" s="109">
        <f>IFERROR(_xlfn.XLOOKUP($D62,'Modelling New'!$D:$D,'Modelling New'!O:O),"")</f>
        <v>0.69621632879901718</v>
      </c>
      <c r="AF62" s="108">
        <f>IFERROR(_xlfn.XLOOKUP($D62,'Modelling New'!$D:$D,'Modelling New'!W:W),"")</f>
        <v>0.17442839205394728</v>
      </c>
      <c r="AG62" s="108">
        <f>IFERROR(_xlfn.XLOOKUP($D62,'Modelling New'!$D:$D,'Modelling New'!AE:AE),"")</f>
        <v>0.98040000000000005</v>
      </c>
      <c r="AH62" s="128">
        <f>IFERROR(_xlfn.XLOOKUP($D62,'Modelling New'!$D:$D,'Modelling New'!AF:AF),"")</f>
        <v>0.98</v>
      </c>
      <c r="AN62" s="105"/>
      <c r="AO62" s="108"/>
      <c r="AP62" s="108"/>
      <c r="AQ62" s="108"/>
      <c r="AR62" s="101">
        <f>'Basic Data'!$B$98/1000</f>
        <v>8.0208999999999993</v>
      </c>
      <c r="AT62" s="7">
        <f>IFERROR(_xlfn.XLOOKUP(Table13[[#This Row],[Date]],'Raw Data'!$G:$G,'Raw Data'!$AN:$AN),"")</f>
        <v>0</v>
      </c>
      <c r="AU62" s="7">
        <f>IFERROR(_xlfn.XLOOKUP(Table13[[#This Row],[Month Year]],'Modelling New'!$D:$D,'Modelling New'!$AO:$AO),"")</f>
        <v>8</v>
      </c>
      <c r="AV62" s="7">
        <f>SUMIF('Curtailment Records'!$C:$C,Table13[[#This Row],[Date]],'Curtailment Records'!$R:$R)/1000</f>
        <v>0</v>
      </c>
    </row>
    <row r="63" spans="1:48" x14ac:dyDescent="0.3">
      <c r="A63" s="100">
        <f t="shared" si="7"/>
        <v>45806</v>
      </c>
      <c r="B63" s="101">
        <f>YEAR(Table13[[#This Row],[Date]])+IF(MONTH(Table13[[#This Row],[Date]])&gt;=4,1,0)</f>
        <v>2026</v>
      </c>
      <c r="C63" s="7">
        <f>YEAR(Table13[[#This Row],[Date]])</f>
        <v>2025</v>
      </c>
      <c r="D63" s="102">
        <f>Table13[[#This Row],[Date]]-DAY(Table13[[#This Row],[Date]])+1</f>
        <v>45778</v>
      </c>
      <c r="E63" s="7">
        <f t="shared" si="4"/>
        <v>31</v>
      </c>
      <c r="F63" s="103">
        <f>IFERROR(_xlfn.XLOOKUP($A63,'Raw Data'!$G:$G,'Raw Data'!$AM:$AM),"")</f>
        <v>12.733333333333334</v>
      </c>
      <c r="G63" s="104">
        <f>IFERROR(_xlfn.XLOOKUP($A63,'Raw Data'!$G:$G,'Raw Data'!$AB:$AB),"")</f>
        <v>0</v>
      </c>
      <c r="H63" s="104"/>
      <c r="I63" s="104">
        <f>IFERROR(_xlfn.XLOOKUP($A63,'Raw Data'!$G:$G,'Raw Data'!$AC:$AC),"")</f>
        <v>2.67</v>
      </c>
      <c r="J63" s="104"/>
      <c r="K63" s="104">
        <f>IFERROR(_xlfn.XLOOKUP($A63,'Raw Data'!$G:$G,'Raw Data'!AD:AD),"")</f>
        <v>0</v>
      </c>
      <c r="L63" s="104">
        <f>IFERROR(_xlfn.XLOOKUP($A63,'Raw Data'!$G:$G,'Raw Data'!AE:AE),"")</f>
        <v>32.15</v>
      </c>
      <c r="M63" s="104">
        <f>IFERROR(_xlfn.XLOOKUP($A63,'Raw Data'!$G:$G,'Raw Data'!AF:AF),"")</f>
        <v>0</v>
      </c>
      <c r="N63" s="104">
        <f>IFERROR(_xlfn.XLOOKUP($A63,'Raw Data'!$G:$G,'Raw Data'!AG:AG),"")</f>
        <v>0</v>
      </c>
      <c r="O63" s="105">
        <f>IFERROR(1-SUMIF('Plant BD'!$B:$B,$A63,'Plant BD'!$AM:$AM)/($AA63+SUMIF('Plant BD'!$B:$B,$A63,'Plant BD'!$AM:$AM)),"")</f>
        <v>1</v>
      </c>
      <c r="P63" s="105"/>
      <c r="Q63" s="106"/>
      <c r="R63" s="105">
        <f>IFERROR(1-SUMIF('Grid BD'!$B:$B,$A63,'Grid BD'!$AE:$AE)/($AA63+SUMIF('Grid BD'!$B:$B,$A63,'Grid BD'!$AE:$AE)),"")</f>
        <v>1</v>
      </c>
      <c r="T63" s="106"/>
      <c r="U63" s="107">
        <f t="shared" si="5"/>
        <v>0.87552168835363087</v>
      </c>
      <c r="V63" s="107"/>
      <c r="W63" s="108">
        <f t="shared" si="6"/>
        <v>9.7401787829341432E-2</v>
      </c>
      <c r="X63" s="101">
        <f>IFERROR(_xlfn.XLOOKUP($A63,'Raw Data'!$G:$G,'Raw Data'!AI:AI),"")</f>
        <v>19012.099999999999</v>
      </c>
      <c r="Y63" s="101">
        <f>IFERROR(_xlfn.XLOOKUP($A63,'Raw Data'!$G:$G,'Raw Data'!AJ:AJ),"")</f>
        <v>18900.000000008731</v>
      </c>
      <c r="Z63" s="101">
        <f>IFERROR(_xlfn.XLOOKUP($A63,'Raw Data'!$G:$G,'Raw Data'!AK:AK),"")</f>
        <v>149.99999999997726</v>
      </c>
      <c r="AA63" s="101">
        <f>IFERROR(_xlfn.XLOOKUP($A63,'Raw Data'!$G:$G,'Raw Data'!$AL:$AL)*(1+(_xlfn.XLOOKUP(Table13[[#This Row],[Month Year]],JMR!$A:$A,JMR!$J:$J))),"")</f>
        <v>18750.000000008753</v>
      </c>
      <c r="AB63" s="101">
        <f>IFERROR(_xlfn.XLOOKUP($A63,'Raw Data'!$G:$G,'Raw Data'!H:H),"")</f>
        <v>8.0208999999999993</v>
      </c>
      <c r="AC63" s="67">
        <f>IFERROR(_xlfn.XLOOKUP($D63,'Modelling New'!$D:$D,'Modelling New'!P:P),"")</f>
        <v>6.0129032258064514</v>
      </c>
      <c r="AD63" s="101">
        <f>IFERROR(_xlfn.XLOOKUP($D63,'Modelling New'!$D:$D,'Modelling New'!$T:$T)*1000,"")</f>
        <v>33577.74455581214</v>
      </c>
      <c r="AE63" s="109">
        <f>IFERROR(_xlfn.XLOOKUP($D63,'Modelling New'!$D:$D,'Modelling New'!O:O),"")</f>
        <v>0.69621632879901718</v>
      </c>
      <c r="AF63" s="108">
        <f>IFERROR(_xlfn.XLOOKUP($D63,'Modelling New'!$D:$D,'Modelling New'!W:W),"")</f>
        <v>0.17442839205394728</v>
      </c>
      <c r="AG63" s="108">
        <f>IFERROR(_xlfn.XLOOKUP($D63,'Modelling New'!$D:$D,'Modelling New'!AE:AE),"")</f>
        <v>0.98040000000000005</v>
      </c>
      <c r="AH63" s="128">
        <f>IFERROR(_xlfn.XLOOKUP($D63,'Modelling New'!$D:$D,'Modelling New'!AF:AF),"")</f>
        <v>0.98</v>
      </c>
      <c r="AN63" s="105"/>
      <c r="AO63" s="108"/>
      <c r="AP63" s="108"/>
      <c r="AQ63" s="108"/>
      <c r="AR63" s="101">
        <f>'Basic Data'!$B$98/1000</f>
        <v>8.0208999999999993</v>
      </c>
      <c r="AT63" s="7">
        <f>IFERROR(_xlfn.XLOOKUP(Table13[[#This Row],[Date]],'Raw Data'!$G:$G,'Raw Data'!$AN:$AN),"")</f>
        <v>0</v>
      </c>
      <c r="AU63" s="7">
        <f>IFERROR(_xlfn.XLOOKUP(Table13[[#This Row],[Month Year]],'Modelling New'!$D:$D,'Modelling New'!$AO:$AO),"")</f>
        <v>8</v>
      </c>
      <c r="AV63" s="7">
        <f>SUMIF('Curtailment Records'!$C:$C,Table13[[#This Row],[Date]],'Curtailment Records'!$R:$R)/1000</f>
        <v>0</v>
      </c>
    </row>
    <row r="64" spans="1:48" x14ac:dyDescent="0.3">
      <c r="A64" s="100">
        <f t="shared" si="7"/>
        <v>45807</v>
      </c>
      <c r="B64" s="101">
        <f>YEAR(Table13[[#This Row],[Date]])+IF(MONTH(Table13[[#This Row],[Date]])&gt;=4,1,0)</f>
        <v>2026</v>
      </c>
      <c r="C64" s="7">
        <f>YEAR(Table13[[#This Row],[Date]])</f>
        <v>2025</v>
      </c>
      <c r="D64" s="102">
        <f>Table13[[#This Row],[Date]]-DAY(Table13[[#This Row],[Date]])+1</f>
        <v>45778</v>
      </c>
      <c r="E64" s="7">
        <f t="shared" si="4"/>
        <v>31</v>
      </c>
      <c r="F64" s="103">
        <f>IFERROR(_xlfn.XLOOKUP($A64,'Raw Data'!$G:$G,'Raw Data'!$AM:$AM),"")</f>
        <v>12.916666666666666</v>
      </c>
      <c r="G64" s="104">
        <f>IFERROR(_xlfn.XLOOKUP($A64,'Raw Data'!$G:$G,'Raw Data'!$AB:$AB),"")</f>
        <v>0</v>
      </c>
      <c r="H64" s="104"/>
      <c r="I64" s="104">
        <f>IFERROR(_xlfn.XLOOKUP($A64,'Raw Data'!$G:$G,'Raw Data'!$AC:$AC),"")</f>
        <v>5.3</v>
      </c>
      <c r="J64" s="104"/>
      <c r="K64" s="104">
        <f>IFERROR(_xlfn.XLOOKUP($A64,'Raw Data'!$G:$G,'Raw Data'!AD:AD),"")</f>
        <v>0</v>
      </c>
      <c r="L64" s="104">
        <f>IFERROR(_xlfn.XLOOKUP($A64,'Raw Data'!$G:$G,'Raw Data'!AE:AE),"")</f>
        <v>37.700000000000003</v>
      </c>
      <c r="M64" s="104">
        <f>IFERROR(_xlfn.XLOOKUP($A64,'Raw Data'!$G:$G,'Raw Data'!AF:AF),"")</f>
        <v>0</v>
      </c>
      <c r="N64" s="104">
        <f>IFERROR(_xlfn.XLOOKUP($A64,'Raw Data'!$G:$G,'Raw Data'!AG:AG),"")</f>
        <v>0</v>
      </c>
      <c r="O64" s="105">
        <f>IFERROR(1-SUMIF('Plant BD'!$B:$B,$A64,'Plant BD'!$AM:$AM)/($AA64+SUMIF('Plant BD'!$B:$B,$A64,'Plant BD'!$AM:$AM)),"")</f>
        <v>1</v>
      </c>
      <c r="P64" s="105"/>
      <c r="Q64" s="106"/>
      <c r="R64" s="105">
        <f>IFERROR(1-SUMIF('Grid BD'!$B:$B,$A64,'Grid BD'!$AE:$AE)/($AA64+SUMIF('Grid BD'!$B:$B,$A64,'Grid BD'!$AE:$AE)),"")</f>
        <v>1</v>
      </c>
      <c r="T64" s="106"/>
      <c r="U64" s="107">
        <f t="shared" si="5"/>
        <v>0.83037780778833614</v>
      </c>
      <c r="V64" s="107"/>
      <c r="W64" s="108">
        <f t="shared" si="6"/>
        <v>0.18337509921992418</v>
      </c>
      <c r="X64" s="101">
        <f>IFERROR(_xlfn.XLOOKUP($A64,'Raw Data'!$G:$G,'Raw Data'!AI:AI),"")</f>
        <v>35750.800000000003</v>
      </c>
      <c r="Y64" s="101">
        <f>IFERROR(_xlfn.XLOOKUP($A64,'Raw Data'!$G:$G,'Raw Data'!AJ:AJ),"")</f>
        <v>35399.999999994179</v>
      </c>
      <c r="Z64" s="101">
        <f>IFERROR(_xlfn.XLOOKUP($A64,'Raw Data'!$G:$G,'Raw Data'!AK:AK),"")</f>
        <v>100.00000000002274</v>
      </c>
      <c r="AA64" s="101">
        <f>IFERROR(_xlfn.XLOOKUP($A64,'Raw Data'!$G:$G,'Raw Data'!$AL:$AL)*(1+(_xlfn.XLOOKUP(Table13[[#This Row],[Month Year]],JMR!$A:$A,JMR!$J:$J))),"")</f>
        <v>35299.999999994157</v>
      </c>
      <c r="AB64" s="101">
        <f>IFERROR(_xlfn.XLOOKUP($A64,'Raw Data'!$G:$G,'Raw Data'!H:H),"")</f>
        <v>8.0208999999999993</v>
      </c>
      <c r="AC64" s="67">
        <f>IFERROR(_xlfn.XLOOKUP($D64,'Modelling New'!$D:$D,'Modelling New'!P:P),"")</f>
        <v>6.0129032258064514</v>
      </c>
      <c r="AD64" s="101">
        <f>IFERROR(_xlfn.XLOOKUP($D64,'Modelling New'!$D:$D,'Modelling New'!$T:$T)*1000,"")</f>
        <v>33577.74455581214</v>
      </c>
      <c r="AE64" s="109">
        <f>IFERROR(_xlfn.XLOOKUP($D64,'Modelling New'!$D:$D,'Modelling New'!O:O),"")</f>
        <v>0.69621632879901718</v>
      </c>
      <c r="AF64" s="108">
        <f>IFERROR(_xlfn.XLOOKUP($D64,'Modelling New'!$D:$D,'Modelling New'!W:W),"")</f>
        <v>0.17442839205394728</v>
      </c>
      <c r="AG64" s="108">
        <f>IFERROR(_xlfn.XLOOKUP($D64,'Modelling New'!$D:$D,'Modelling New'!AE:AE),"")</f>
        <v>0.98040000000000005</v>
      </c>
      <c r="AH64" s="128">
        <f>IFERROR(_xlfn.XLOOKUP($D64,'Modelling New'!$D:$D,'Modelling New'!AF:AF),"")</f>
        <v>0.98</v>
      </c>
      <c r="AN64" s="105"/>
      <c r="AO64" s="108"/>
      <c r="AP64" s="108"/>
      <c r="AQ64" s="108"/>
      <c r="AR64" s="101">
        <f>'Basic Data'!$B$98/1000</f>
        <v>8.0208999999999993</v>
      </c>
      <c r="AT64" s="7">
        <f>IFERROR(_xlfn.XLOOKUP(Table13[[#This Row],[Date]],'Raw Data'!$G:$G,'Raw Data'!$AN:$AN),"")</f>
        <v>0</v>
      </c>
      <c r="AU64" s="7">
        <f>IFERROR(_xlfn.XLOOKUP(Table13[[#This Row],[Month Year]],'Modelling New'!$D:$D,'Modelling New'!$AO:$AO),"")</f>
        <v>8</v>
      </c>
      <c r="AV64" s="7">
        <f>SUMIF('Curtailment Records'!$C:$C,Table13[[#This Row],[Date]],'Curtailment Records'!$R:$R)/1000</f>
        <v>0</v>
      </c>
    </row>
    <row r="65" spans="1:48" x14ac:dyDescent="0.3">
      <c r="A65" s="100">
        <f t="shared" si="7"/>
        <v>45808</v>
      </c>
      <c r="B65" s="101">
        <f>YEAR(Table13[[#This Row],[Date]])+IF(MONTH(Table13[[#This Row],[Date]])&gt;=4,1,0)</f>
        <v>2026</v>
      </c>
      <c r="C65" s="7">
        <f>YEAR(Table13[[#This Row],[Date]])</f>
        <v>2025</v>
      </c>
      <c r="D65" s="102">
        <f>Table13[[#This Row],[Date]]-DAY(Table13[[#This Row],[Date]])+1</f>
        <v>45778</v>
      </c>
      <c r="E65" s="7">
        <f t="shared" si="4"/>
        <v>31</v>
      </c>
      <c r="F65" s="103">
        <f>IFERROR(_xlfn.XLOOKUP($A65,'Raw Data'!$G:$G,'Raw Data'!$AM:$AM),"")</f>
        <v>12.983333333333333</v>
      </c>
      <c r="G65" s="104">
        <f>IFERROR(_xlfn.XLOOKUP($A65,'Raw Data'!$G:$G,'Raw Data'!$AB:$AB),"")</f>
        <v>0</v>
      </c>
      <c r="H65" s="104"/>
      <c r="I65" s="104">
        <f>IFERROR(_xlfn.XLOOKUP($A65,'Raw Data'!$G:$G,'Raw Data'!$AC:$AC),"")</f>
        <v>6.1</v>
      </c>
      <c r="J65" s="104"/>
      <c r="K65" s="104">
        <f>IFERROR(_xlfn.XLOOKUP($A65,'Raw Data'!$G:$G,'Raw Data'!AD:AD),"")</f>
        <v>0</v>
      </c>
      <c r="L65" s="104">
        <f>IFERROR(_xlfn.XLOOKUP($A65,'Raw Data'!$G:$G,'Raw Data'!AE:AE),"")</f>
        <v>39.9</v>
      </c>
      <c r="M65" s="104">
        <f>IFERROR(_xlfn.XLOOKUP($A65,'Raw Data'!$G:$G,'Raw Data'!AF:AF),"")</f>
        <v>0</v>
      </c>
      <c r="N65" s="104">
        <f>IFERROR(_xlfn.XLOOKUP($A65,'Raw Data'!$G:$G,'Raw Data'!AG:AG),"")</f>
        <v>0</v>
      </c>
      <c r="O65" s="105">
        <f>IFERROR(1-SUMIF('Plant BD'!$B:$B,$A65,'Plant BD'!$AM:$AM)/($AA65+SUMIF('Plant BD'!$B:$B,$A65,'Plant BD'!$AM:$AM)),"")</f>
        <v>1</v>
      </c>
      <c r="P65" s="105"/>
      <c r="Q65" s="106"/>
      <c r="R65" s="105">
        <f>IFERROR(1-SUMIF('Grid BD'!$B:$B,$A65,'Grid BD'!$AE:$AE)/($AA65+SUMIF('Grid BD'!$B:$B,$A65,'Grid BD'!$AE:$AE)),"")</f>
        <v>1</v>
      </c>
      <c r="T65" s="106"/>
      <c r="U65" s="107">
        <f t="shared" si="5"/>
        <v>0.81140479513670027</v>
      </c>
      <c r="V65" s="107"/>
      <c r="W65" s="108">
        <f t="shared" si="6"/>
        <v>0.20623205209724463</v>
      </c>
      <c r="X65" s="101">
        <f>IFERROR(_xlfn.XLOOKUP($A65,'Raw Data'!$G:$G,'Raw Data'!AI:AI),"")</f>
        <v>40077.699999999997</v>
      </c>
      <c r="Y65" s="101">
        <f>IFERROR(_xlfn.XLOOKUP($A65,'Raw Data'!$G:$G,'Raw Data'!AJ:AJ),"")</f>
        <v>39800.00000000291</v>
      </c>
      <c r="Z65" s="101">
        <f>IFERROR(_xlfn.XLOOKUP($A65,'Raw Data'!$G:$G,'Raw Data'!AK:AK),"")</f>
        <v>99.999999999965894</v>
      </c>
      <c r="AA65" s="101">
        <f>IFERROR(_xlfn.XLOOKUP($A65,'Raw Data'!$G:$G,'Raw Data'!$AL:$AL)*(1+(_xlfn.XLOOKUP(Table13[[#This Row],[Month Year]],JMR!$A:$A,JMR!$J:$J))),"")</f>
        <v>39700.000000002947</v>
      </c>
      <c r="AB65" s="101">
        <f>IFERROR(_xlfn.XLOOKUP($A65,'Raw Data'!$G:$G,'Raw Data'!H:H),"")</f>
        <v>8.0208999999999993</v>
      </c>
      <c r="AC65" s="67">
        <f>IFERROR(_xlfn.XLOOKUP($D65,'Modelling New'!$D:$D,'Modelling New'!P:P),"")</f>
        <v>6.0129032258064514</v>
      </c>
      <c r="AD65" s="101">
        <f>IFERROR(_xlfn.XLOOKUP($D65,'Modelling New'!$D:$D,'Modelling New'!$T:$T)*1000,"")</f>
        <v>33577.74455581214</v>
      </c>
      <c r="AE65" s="109">
        <f>IFERROR(_xlfn.XLOOKUP($D65,'Modelling New'!$D:$D,'Modelling New'!O:O),"")</f>
        <v>0.69621632879901718</v>
      </c>
      <c r="AF65" s="108">
        <f>IFERROR(_xlfn.XLOOKUP($D65,'Modelling New'!$D:$D,'Modelling New'!W:W),"")</f>
        <v>0.17442839205394728</v>
      </c>
      <c r="AG65" s="108">
        <f>IFERROR(_xlfn.XLOOKUP($D65,'Modelling New'!$D:$D,'Modelling New'!AE:AE),"")</f>
        <v>0.98040000000000005</v>
      </c>
      <c r="AH65" s="128">
        <f>IFERROR(_xlfn.XLOOKUP($D65,'Modelling New'!$D:$D,'Modelling New'!AF:AF),"")</f>
        <v>0.98</v>
      </c>
      <c r="AN65" s="105"/>
      <c r="AO65" s="108"/>
      <c r="AP65" s="108"/>
      <c r="AQ65" s="108"/>
      <c r="AR65" s="101">
        <f>'Basic Data'!$B$98/1000</f>
        <v>8.0208999999999993</v>
      </c>
      <c r="AT65" s="7">
        <f>IFERROR(_xlfn.XLOOKUP(Table13[[#This Row],[Date]],'Raw Data'!$G:$G,'Raw Data'!$AN:$AN),"")</f>
        <v>0</v>
      </c>
      <c r="AU65" s="7">
        <f>IFERROR(_xlfn.XLOOKUP(Table13[[#This Row],[Month Year]],'Modelling New'!$D:$D,'Modelling New'!$AO:$AO),"")</f>
        <v>8</v>
      </c>
      <c r="AV65" s="7">
        <f>SUMIF('Curtailment Records'!$C:$C,Table13[[#This Row],[Date]],'Curtailment Records'!$R:$R)/1000</f>
        <v>0</v>
      </c>
    </row>
    <row r="66" spans="1:48" x14ac:dyDescent="0.3">
      <c r="A66" s="100">
        <f t="shared" si="7"/>
        <v>45809</v>
      </c>
      <c r="B66" s="101">
        <f>YEAR(Table13[[#This Row],[Date]])+IF(MONTH(Table13[[#This Row],[Date]])&gt;=4,1,0)</f>
        <v>2026</v>
      </c>
      <c r="C66" s="7">
        <f>YEAR(Table13[[#This Row],[Date]])</f>
        <v>2025</v>
      </c>
      <c r="D66" s="102">
        <f>Table13[[#This Row],[Date]]-DAY(Table13[[#This Row],[Date]])+1</f>
        <v>45809</v>
      </c>
      <c r="E66" s="7">
        <f t="shared" si="4"/>
        <v>30</v>
      </c>
      <c r="F66" s="103">
        <f>IFERROR(_xlfn.XLOOKUP($A66,'Raw Data'!$G:$G,'Raw Data'!$AM:$AM),"")</f>
        <v>12.916666666666666</v>
      </c>
      <c r="G66" s="104">
        <f>IFERROR(_xlfn.XLOOKUP($A66,'Raw Data'!$G:$G,'Raw Data'!$AB:$AB),"")</f>
        <v>0</v>
      </c>
      <c r="H66" s="104"/>
      <c r="I66" s="104">
        <f>IFERROR(_xlfn.XLOOKUP($A66,'Raw Data'!$G:$G,'Raw Data'!$AC:$AC),"")</f>
        <v>5.88</v>
      </c>
      <c r="J66" s="104"/>
      <c r="K66" s="104">
        <f>IFERROR(_xlfn.XLOOKUP($A66,'Raw Data'!$G:$G,'Raw Data'!AD:AD),"")</f>
        <v>0</v>
      </c>
      <c r="L66" s="104">
        <f>IFERROR(_xlfn.XLOOKUP($A66,'Raw Data'!$G:$G,'Raw Data'!AE:AE),"")</f>
        <v>39.090000000000003</v>
      </c>
      <c r="M66" s="104">
        <f>IFERROR(_xlfn.XLOOKUP($A66,'Raw Data'!$G:$G,'Raw Data'!AF:AF),"")</f>
        <v>0</v>
      </c>
      <c r="N66" s="104">
        <f>IFERROR(_xlfn.XLOOKUP($A66,'Raw Data'!$G:$G,'Raw Data'!AG:AG),"")</f>
        <v>0</v>
      </c>
      <c r="O66" s="105">
        <f>IFERROR(1-SUMIF('Plant BD'!$B:$B,$A66,'Plant BD'!$AM:$AM)/($AA66+SUMIF('Plant BD'!$B:$B,$A66,'Plant BD'!$AM:$AM)),"")</f>
        <v>1</v>
      </c>
      <c r="P66" s="105"/>
      <c r="Q66" s="106"/>
      <c r="R66" s="105">
        <f>IFERROR(1-SUMIF('Grid BD'!$B:$B,$A66,'Grid BD'!$AE:$AE)/($AA66+SUMIF('Grid BD'!$B:$B,$A66,'Grid BD'!$AE:$AE)),"")</f>
        <v>1</v>
      </c>
      <c r="T66" s="106"/>
      <c r="U66" s="107">
        <f t="shared" si="5"/>
        <v>0.81631974561707965</v>
      </c>
      <c r="V66" s="107"/>
      <c r="W66" s="108">
        <f t="shared" si="6"/>
        <v>0.1999983376761845</v>
      </c>
      <c r="X66" s="101">
        <f>IFERROR(_xlfn.XLOOKUP($A66,'Raw Data'!$G:$G,'Raw Data'!AI:AI),"")</f>
        <v>38871.4</v>
      </c>
      <c r="Y66" s="101">
        <f>IFERROR(_xlfn.XLOOKUP($A66,'Raw Data'!$G:$G,'Raw Data'!AJ:AJ),"")</f>
        <v>38600.000000005821</v>
      </c>
      <c r="Z66" s="101">
        <f>IFERROR(_xlfn.XLOOKUP($A66,'Raw Data'!$G:$G,'Raw Data'!AK:AK),"")</f>
        <v>100.00000000002274</v>
      </c>
      <c r="AA66" s="101">
        <f>IFERROR(_xlfn.XLOOKUP($A66,'Raw Data'!$G:$G,'Raw Data'!$AL:$AL)*(1+(_xlfn.XLOOKUP(Table13[[#This Row],[Month Year]],JMR!$A:$A,JMR!$J:$J))),"")</f>
        <v>38500.000000005799</v>
      </c>
      <c r="AB66" s="101">
        <f>IFERROR(_xlfn.XLOOKUP($A66,'Raw Data'!$G:$G,'Raw Data'!H:H),"")</f>
        <v>8.0208999999999993</v>
      </c>
      <c r="AC66" s="67">
        <f>IFERROR(_xlfn.XLOOKUP($D66,'Modelling New'!$D:$D,'Modelling New'!P:P),"")</f>
        <v>4.7600000000000007</v>
      </c>
      <c r="AD66" s="101">
        <f>IFERROR(_xlfn.XLOOKUP($D66,'Modelling New'!$D:$D,'Modelling New'!$T:$T)*1000,"")</f>
        <v>25919.748311299463</v>
      </c>
      <c r="AE66" s="109">
        <f>IFERROR(_xlfn.XLOOKUP($D66,'Modelling New'!$D:$D,'Modelling New'!O:O),"")</f>
        <v>0.67889205394445518</v>
      </c>
      <c r="AF66" s="108">
        <f>IFERROR(_xlfn.XLOOKUP($D66,'Modelling New'!$D:$D,'Modelling New'!W:W),"")</f>
        <v>0.13464692403231696</v>
      </c>
      <c r="AG66" s="108">
        <f>IFERROR(_xlfn.XLOOKUP($D66,'Modelling New'!$D:$D,'Modelling New'!AE:AE),"")</f>
        <v>0.98040000000000005</v>
      </c>
      <c r="AH66" s="128">
        <f>IFERROR(_xlfn.XLOOKUP($D66,'Modelling New'!$D:$D,'Modelling New'!AF:AF),"")</f>
        <v>0.98</v>
      </c>
      <c r="AN66" s="105"/>
      <c r="AO66" s="108"/>
      <c r="AP66" s="108"/>
      <c r="AQ66" s="108"/>
      <c r="AR66" s="101">
        <f>'Basic Data'!$B$98/1000</f>
        <v>8.0208999999999993</v>
      </c>
      <c r="AT66" s="7">
        <f>IFERROR(_xlfn.XLOOKUP(Table13[[#This Row],[Date]],'Raw Data'!$G:$G,'Raw Data'!$AN:$AN),"")</f>
        <v>0</v>
      </c>
      <c r="AU66" s="7">
        <f>IFERROR(_xlfn.XLOOKUP(Table13[[#This Row],[Month Year]],'Modelling New'!$D:$D,'Modelling New'!$AO:$AO),"")</f>
        <v>8</v>
      </c>
      <c r="AV66" s="7">
        <f>SUMIF('Curtailment Records'!$C:$C,Table13[[#This Row],[Date]],'Curtailment Records'!$R:$R)/1000</f>
        <v>0</v>
      </c>
    </row>
    <row r="67" spans="1:48" x14ac:dyDescent="0.3">
      <c r="A67" s="100">
        <f t="shared" si="7"/>
        <v>45810</v>
      </c>
      <c r="B67" s="101">
        <f>YEAR(Table13[[#This Row],[Date]])+IF(MONTH(Table13[[#This Row],[Date]])&gt;=4,1,0)</f>
        <v>2026</v>
      </c>
      <c r="C67" s="7">
        <f>YEAR(Table13[[#This Row],[Date]])</f>
        <v>2025</v>
      </c>
      <c r="D67" s="102">
        <f>Table13[[#This Row],[Date]]-DAY(Table13[[#This Row],[Date]])+1</f>
        <v>45809</v>
      </c>
      <c r="E67" s="7">
        <f t="shared" si="4"/>
        <v>30</v>
      </c>
      <c r="F67" s="103">
        <f>IFERROR(_xlfn.XLOOKUP($A67,'Raw Data'!$G:$G,'Raw Data'!$AM:$AM),"")</f>
        <v>12.883333333333333</v>
      </c>
      <c r="G67" s="104">
        <f>IFERROR(_xlfn.XLOOKUP($A67,'Raw Data'!$G:$G,'Raw Data'!$AB:$AB),"")</f>
        <v>0</v>
      </c>
      <c r="H67" s="104"/>
      <c r="I67" s="104">
        <f>IFERROR(_xlfn.XLOOKUP($A67,'Raw Data'!$G:$G,'Raw Data'!$AC:$AC),"")</f>
        <v>4.76</v>
      </c>
      <c r="J67" s="104"/>
      <c r="K67" s="104">
        <f>IFERROR(_xlfn.XLOOKUP($A67,'Raw Data'!$G:$G,'Raw Data'!AD:AD),"")</f>
        <v>0</v>
      </c>
      <c r="L67" s="104">
        <f>IFERROR(_xlfn.XLOOKUP($A67,'Raw Data'!$G:$G,'Raw Data'!AE:AE),"")</f>
        <v>36.1</v>
      </c>
      <c r="M67" s="104">
        <f>IFERROR(_xlfn.XLOOKUP($A67,'Raw Data'!$G:$G,'Raw Data'!AF:AF),"")</f>
        <v>0</v>
      </c>
      <c r="N67" s="104">
        <f>IFERROR(_xlfn.XLOOKUP($A67,'Raw Data'!$G:$G,'Raw Data'!AG:AG),"")</f>
        <v>0</v>
      </c>
      <c r="O67" s="105">
        <f>IFERROR(1-SUMIF('Plant BD'!$B:$B,$A67,'Plant BD'!$AM:$AM)/($AA67+SUMIF('Plant BD'!$B:$B,$A67,'Plant BD'!$AM:$AM)),"")</f>
        <v>1</v>
      </c>
      <c r="P67" s="105"/>
      <c r="Q67" s="106"/>
      <c r="R67" s="105">
        <f>IFERROR(1-SUMIF('Grid BD'!$B:$B,$A67,'Grid BD'!$AE:$AE)/($AA67+SUMIF('Grid BD'!$B:$B,$A67,'Grid BD'!$AE:$AE)),"")</f>
        <v>1</v>
      </c>
      <c r="T67" s="106"/>
      <c r="U67" s="107">
        <f t="shared" si="5"/>
        <v>0.84600410000287496</v>
      </c>
      <c r="V67" s="107"/>
      <c r="W67" s="108">
        <f t="shared" si="6"/>
        <v>0.16779081316723682</v>
      </c>
      <c r="X67" s="101">
        <f>IFERROR(_xlfn.XLOOKUP($A67,'Raw Data'!$G:$G,'Raw Data'!AI:AI),"")</f>
        <v>32605.4</v>
      </c>
      <c r="Y67" s="101">
        <f>IFERROR(_xlfn.XLOOKUP($A67,'Raw Data'!$G:$G,'Raw Data'!AJ:AJ),"")</f>
        <v>32399.999999994179</v>
      </c>
      <c r="Z67" s="101">
        <f>IFERROR(_xlfn.XLOOKUP($A67,'Raw Data'!$G:$G,'Raw Data'!AK:AK),"")</f>
        <v>100.00000000002274</v>
      </c>
      <c r="AA67" s="101">
        <f>IFERROR(_xlfn.XLOOKUP($A67,'Raw Data'!$G:$G,'Raw Data'!$AL:$AL)*(1+(_xlfn.XLOOKUP(Table13[[#This Row],[Month Year]],JMR!$A:$A,JMR!$J:$J))),"")</f>
        <v>32299.999999994157</v>
      </c>
      <c r="AB67" s="101">
        <f>IFERROR(_xlfn.XLOOKUP($A67,'Raw Data'!$G:$G,'Raw Data'!H:H),"")</f>
        <v>8.0208999999999993</v>
      </c>
      <c r="AC67" s="67">
        <f>IFERROR(_xlfn.XLOOKUP($D67,'Modelling New'!$D:$D,'Modelling New'!P:P),"")</f>
        <v>4.7600000000000007</v>
      </c>
      <c r="AD67" s="101">
        <f>IFERROR(_xlfn.XLOOKUP($D67,'Modelling New'!$D:$D,'Modelling New'!$T:$T)*1000,"")</f>
        <v>25919.748311299463</v>
      </c>
      <c r="AE67" s="109">
        <f>IFERROR(_xlfn.XLOOKUP($D67,'Modelling New'!$D:$D,'Modelling New'!O:O),"")</f>
        <v>0.67889205394445518</v>
      </c>
      <c r="AF67" s="108">
        <f>IFERROR(_xlfn.XLOOKUP($D67,'Modelling New'!$D:$D,'Modelling New'!W:W),"")</f>
        <v>0.13464692403231696</v>
      </c>
      <c r="AG67" s="108">
        <f>IFERROR(_xlfn.XLOOKUP($D67,'Modelling New'!$D:$D,'Modelling New'!AE:AE),"")</f>
        <v>0.98040000000000005</v>
      </c>
      <c r="AH67" s="128">
        <f>IFERROR(_xlfn.XLOOKUP($D67,'Modelling New'!$D:$D,'Modelling New'!AF:AF),"")</f>
        <v>0.98</v>
      </c>
      <c r="AN67" s="105"/>
      <c r="AO67" s="108"/>
      <c r="AP67" s="108"/>
      <c r="AQ67" s="108"/>
      <c r="AR67" s="101">
        <f>'Basic Data'!$B$98/1000</f>
        <v>8.0208999999999993</v>
      </c>
      <c r="AT67" s="7">
        <f>IFERROR(_xlfn.XLOOKUP(Table13[[#This Row],[Date]],'Raw Data'!$G:$G,'Raw Data'!$AN:$AN),"")</f>
        <v>0</v>
      </c>
      <c r="AU67" s="7">
        <f>IFERROR(_xlfn.XLOOKUP(Table13[[#This Row],[Month Year]],'Modelling New'!$D:$D,'Modelling New'!$AO:$AO),"")</f>
        <v>8</v>
      </c>
      <c r="AV67" s="7">
        <f>SUMIF('Curtailment Records'!$C:$C,Table13[[#This Row],[Date]],'Curtailment Records'!$R:$R)/1000</f>
        <v>0</v>
      </c>
    </row>
    <row r="68" spans="1:48" x14ac:dyDescent="0.3">
      <c r="A68" s="100">
        <f t="shared" si="7"/>
        <v>45811</v>
      </c>
      <c r="B68" s="101">
        <f>YEAR(Table13[[#This Row],[Date]])+IF(MONTH(Table13[[#This Row],[Date]])&gt;=4,1,0)</f>
        <v>2026</v>
      </c>
      <c r="C68" s="7">
        <f>YEAR(Table13[[#This Row],[Date]])</f>
        <v>2025</v>
      </c>
      <c r="D68" s="102">
        <f>Table13[[#This Row],[Date]]-DAY(Table13[[#This Row],[Date]])+1</f>
        <v>45809</v>
      </c>
      <c r="E68" s="7">
        <f t="shared" si="4"/>
        <v>30</v>
      </c>
      <c r="F68" s="103">
        <f>IFERROR(_xlfn.XLOOKUP($A68,'Raw Data'!$G:$G,'Raw Data'!$AM:$AM),"")</f>
        <v>12.600000000000001</v>
      </c>
      <c r="G68" s="104">
        <f>IFERROR(_xlfn.XLOOKUP($A68,'Raw Data'!$G:$G,'Raw Data'!$AB:$AB),"")</f>
        <v>0</v>
      </c>
      <c r="H68" s="104"/>
      <c r="I68" s="104">
        <f>IFERROR(_xlfn.XLOOKUP($A68,'Raw Data'!$G:$G,'Raw Data'!$AC:$AC),"")</f>
        <v>5.86</v>
      </c>
      <c r="J68" s="104"/>
      <c r="K68" s="104">
        <f>IFERROR(_xlfn.XLOOKUP($A68,'Raw Data'!$G:$G,'Raw Data'!AD:AD),"")</f>
        <v>0</v>
      </c>
      <c r="L68" s="104">
        <f>IFERROR(_xlfn.XLOOKUP($A68,'Raw Data'!$G:$G,'Raw Data'!AE:AE),"")</f>
        <v>39.56</v>
      </c>
      <c r="M68" s="104">
        <f>IFERROR(_xlfn.XLOOKUP($A68,'Raw Data'!$G:$G,'Raw Data'!AF:AF),"")</f>
        <v>0</v>
      </c>
      <c r="N68" s="104">
        <f>IFERROR(_xlfn.XLOOKUP($A68,'Raw Data'!$G:$G,'Raw Data'!AG:AG),"")</f>
        <v>0</v>
      </c>
      <c r="O68" s="105">
        <f>IFERROR(1-SUMIF('Plant BD'!$B:$B,$A68,'Plant BD'!$AM:$AM)/($AA68+SUMIF('Plant BD'!$B:$B,$A68,'Plant BD'!$AM:$AM)),"")</f>
        <v>1</v>
      </c>
      <c r="P68" s="105"/>
      <c r="Q68" s="106"/>
      <c r="R68" s="105">
        <f>IFERROR(1-SUMIF('Grid BD'!$B:$B,$A68,'Grid BD'!$AE:$AE)/($AA68+SUMIF('Grid BD'!$B:$B,$A68,'Grid BD'!$AE:$AE)),"")</f>
        <v>1</v>
      </c>
      <c r="T68" s="106"/>
      <c r="U68" s="107">
        <f t="shared" si="5"/>
        <v>0.76591713023458841</v>
      </c>
      <c r="V68" s="107"/>
      <c r="W68" s="108">
        <f t="shared" si="6"/>
        <v>0.18701143263227868</v>
      </c>
      <c r="X68" s="101">
        <f>IFERROR(_xlfn.XLOOKUP($A68,'Raw Data'!$G:$G,'Raw Data'!AI:AI),"")</f>
        <v>36404</v>
      </c>
      <c r="Y68" s="101">
        <f>IFERROR(_xlfn.XLOOKUP($A68,'Raw Data'!$G:$G,'Raw Data'!AJ:AJ),"")</f>
        <v>36100.000000005821</v>
      </c>
      <c r="Z68" s="101">
        <f>IFERROR(_xlfn.XLOOKUP($A68,'Raw Data'!$G:$G,'Raw Data'!AK:AK),"")</f>
        <v>99.999999999965894</v>
      </c>
      <c r="AA68" s="101">
        <f>IFERROR(_xlfn.XLOOKUP($A68,'Raw Data'!$G:$G,'Raw Data'!$AL:$AL)*(1+(_xlfn.XLOOKUP(Table13[[#This Row],[Month Year]],JMR!$A:$A,JMR!$J:$J))),"")</f>
        <v>36000.000000005857</v>
      </c>
      <c r="AB68" s="101">
        <f>IFERROR(_xlfn.XLOOKUP($A68,'Raw Data'!$G:$G,'Raw Data'!H:H),"")</f>
        <v>8.0208999999999993</v>
      </c>
      <c r="AC68" s="67">
        <f>IFERROR(_xlfn.XLOOKUP($D68,'Modelling New'!$D:$D,'Modelling New'!P:P),"")</f>
        <v>4.7600000000000007</v>
      </c>
      <c r="AD68" s="101">
        <f>IFERROR(_xlfn.XLOOKUP($D68,'Modelling New'!$D:$D,'Modelling New'!$T:$T)*1000,"")</f>
        <v>25919.748311299463</v>
      </c>
      <c r="AE68" s="109">
        <f>IFERROR(_xlfn.XLOOKUP($D68,'Modelling New'!$D:$D,'Modelling New'!O:O),"")</f>
        <v>0.67889205394445518</v>
      </c>
      <c r="AF68" s="108">
        <f>IFERROR(_xlfn.XLOOKUP($D68,'Modelling New'!$D:$D,'Modelling New'!W:W),"")</f>
        <v>0.13464692403231696</v>
      </c>
      <c r="AG68" s="108">
        <f>IFERROR(_xlfn.XLOOKUP($D68,'Modelling New'!$D:$D,'Modelling New'!AE:AE),"")</f>
        <v>0.98040000000000005</v>
      </c>
      <c r="AH68" s="128">
        <f>IFERROR(_xlfn.XLOOKUP($D68,'Modelling New'!$D:$D,'Modelling New'!AF:AF),"")</f>
        <v>0.98</v>
      </c>
      <c r="AN68" s="105"/>
      <c r="AO68" s="108"/>
      <c r="AP68" s="108"/>
      <c r="AQ68" s="108"/>
      <c r="AR68" s="101">
        <f>'Basic Data'!$B$98/1000</f>
        <v>8.0208999999999993</v>
      </c>
      <c r="AT68" s="7">
        <f>IFERROR(_xlfn.XLOOKUP(Table13[[#This Row],[Date]],'Raw Data'!$G:$G,'Raw Data'!$AN:$AN),"")</f>
        <v>0</v>
      </c>
      <c r="AU68" s="7">
        <f>IFERROR(_xlfn.XLOOKUP(Table13[[#This Row],[Month Year]],'Modelling New'!$D:$D,'Modelling New'!$AO:$AO),"")</f>
        <v>8</v>
      </c>
      <c r="AV68" s="7">
        <f>SUMIF('Curtailment Records'!$C:$C,Table13[[#This Row],[Date]],'Curtailment Records'!$R:$R)/1000</f>
        <v>0</v>
      </c>
    </row>
    <row r="69" spans="1:48" x14ac:dyDescent="0.3">
      <c r="A69" s="100">
        <f t="shared" si="7"/>
        <v>45812</v>
      </c>
      <c r="B69" s="101">
        <f>YEAR(Table13[[#This Row],[Date]])+IF(MONTH(Table13[[#This Row],[Date]])&gt;=4,1,0)</f>
        <v>2026</v>
      </c>
      <c r="C69" s="7">
        <f>YEAR(Table13[[#This Row],[Date]])</f>
        <v>2025</v>
      </c>
      <c r="D69" s="102">
        <f>Table13[[#This Row],[Date]]-DAY(Table13[[#This Row],[Date]])+1</f>
        <v>45809</v>
      </c>
      <c r="E69" s="7">
        <f t="shared" si="4"/>
        <v>30</v>
      </c>
      <c r="F69" s="103">
        <f>IFERROR(_xlfn.XLOOKUP($A69,'Raw Data'!$G:$G,'Raw Data'!$AM:$AM),"")</f>
        <v>12.733333333333334</v>
      </c>
      <c r="G69" s="104">
        <f>IFERROR(_xlfn.XLOOKUP($A69,'Raw Data'!$G:$G,'Raw Data'!$AB:$AB),"")</f>
        <v>0</v>
      </c>
      <c r="H69" s="104"/>
      <c r="I69" s="104">
        <f>IFERROR(_xlfn.XLOOKUP($A69,'Raw Data'!$G:$G,'Raw Data'!$AC:$AC),"")</f>
        <v>6.25</v>
      </c>
      <c r="J69" s="104"/>
      <c r="K69" s="104">
        <f>IFERROR(_xlfn.XLOOKUP($A69,'Raw Data'!$G:$G,'Raw Data'!AD:AD),"")</f>
        <v>0</v>
      </c>
      <c r="L69" s="104">
        <f>IFERROR(_xlfn.XLOOKUP($A69,'Raw Data'!$G:$G,'Raw Data'!AE:AE),"")</f>
        <v>41.45</v>
      </c>
      <c r="M69" s="104">
        <f>IFERROR(_xlfn.XLOOKUP($A69,'Raw Data'!$G:$G,'Raw Data'!AF:AF),"")</f>
        <v>0</v>
      </c>
      <c r="N69" s="104">
        <f>IFERROR(_xlfn.XLOOKUP($A69,'Raw Data'!$G:$G,'Raw Data'!AG:AG),"")</f>
        <v>0</v>
      </c>
      <c r="O69" s="105">
        <f>IFERROR(1-SUMIF('Plant BD'!$B:$B,$A69,'Plant BD'!$AM:$AM)/($AA69+SUMIF('Plant BD'!$B:$B,$A69,'Plant BD'!$AM:$AM)),"")</f>
        <v>1</v>
      </c>
      <c r="P69" s="105"/>
      <c r="Q69" s="106"/>
      <c r="R69" s="105">
        <f>IFERROR(1-SUMIF('Grid BD'!$B:$B,$A69,'Grid BD'!$AE:$AE)/($AA69+SUMIF('Grid BD'!$B:$B,$A69,'Grid BD'!$AE:$AE)),"")</f>
        <v>1</v>
      </c>
      <c r="T69" s="106"/>
      <c r="U69" s="107">
        <f t="shared" si="5"/>
        <v>0.81287636050799794</v>
      </c>
      <c r="V69" s="107"/>
      <c r="W69" s="108">
        <f t="shared" si="6"/>
        <v>0.21168655221562441</v>
      </c>
      <c r="X69" s="101">
        <f>IFERROR(_xlfn.XLOOKUP($A69,'Raw Data'!$G:$G,'Raw Data'!AI:AI),"")</f>
        <v>41212.699999999997</v>
      </c>
      <c r="Y69" s="101">
        <f>IFERROR(_xlfn.XLOOKUP($A69,'Raw Data'!$G:$G,'Raw Data'!AJ:AJ),"")</f>
        <v>40849.999999991269</v>
      </c>
      <c r="Z69" s="101">
        <f>IFERROR(_xlfn.XLOOKUP($A69,'Raw Data'!$G:$G,'Raw Data'!AK:AK),"")</f>
        <v>100.00000000002274</v>
      </c>
      <c r="AA69" s="101">
        <f>IFERROR(_xlfn.XLOOKUP($A69,'Raw Data'!$G:$G,'Raw Data'!$AL:$AL)*(1+(_xlfn.XLOOKUP(Table13[[#This Row],[Month Year]],JMR!$A:$A,JMR!$J:$J))),"")</f>
        <v>40749.999999991247</v>
      </c>
      <c r="AB69" s="101">
        <f>IFERROR(_xlfn.XLOOKUP($A69,'Raw Data'!$G:$G,'Raw Data'!H:H),"")</f>
        <v>8.0208999999999993</v>
      </c>
      <c r="AC69" s="67">
        <f>IFERROR(_xlfn.XLOOKUP($D69,'Modelling New'!$D:$D,'Modelling New'!P:P),"")</f>
        <v>4.7600000000000007</v>
      </c>
      <c r="AD69" s="101">
        <f>IFERROR(_xlfn.XLOOKUP($D69,'Modelling New'!$D:$D,'Modelling New'!$T:$T)*1000,"")</f>
        <v>25919.748311299463</v>
      </c>
      <c r="AE69" s="109">
        <f>IFERROR(_xlfn.XLOOKUP($D69,'Modelling New'!$D:$D,'Modelling New'!O:O),"")</f>
        <v>0.67889205394445518</v>
      </c>
      <c r="AF69" s="108">
        <f>IFERROR(_xlfn.XLOOKUP($D69,'Modelling New'!$D:$D,'Modelling New'!W:W),"")</f>
        <v>0.13464692403231696</v>
      </c>
      <c r="AG69" s="108">
        <f>IFERROR(_xlfn.XLOOKUP($D69,'Modelling New'!$D:$D,'Modelling New'!AE:AE),"")</f>
        <v>0.98040000000000005</v>
      </c>
      <c r="AH69" s="128">
        <f>IFERROR(_xlfn.XLOOKUP($D69,'Modelling New'!$D:$D,'Modelling New'!AF:AF),"")</f>
        <v>0.98</v>
      </c>
      <c r="AN69" s="105"/>
      <c r="AO69" s="108"/>
      <c r="AP69" s="108"/>
      <c r="AQ69" s="108"/>
      <c r="AR69" s="101">
        <f>'Basic Data'!$B$98/1000</f>
        <v>8.0208999999999993</v>
      </c>
      <c r="AT69" s="7">
        <f>IFERROR(_xlfn.XLOOKUP(Table13[[#This Row],[Date]],'Raw Data'!$G:$G,'Raw Data'!$AN:$AN),"")</f>
        <v>0</v>
      </c>
      <c r="AU69" s="7">
        <f>IFERROR(_xlfn.XLOOKUP(Table13[[#This Row],[Month Year]],'Modelling New'!$D:$D,'Modelling New'!$AO:$AO),"")</f>
        <v>8</v>
      </c>
      <c r="AV69" s="7">
        <f>SUMIF('Curtailment Records'!$C:$C,Table13[[#This Row],[Date]],'Curtailment Records'!$R:$R)/1000</f>
        <v>0</v>
      </c>
    </row>
    <row r="70" spans="1:48" x14ac:dyDescent="0.3">
      <c r="A70" s="100">
        <f t="shared" si="7"/>
        <v>45813</v>
      </c>
      <c r="B70" s="101">
        <f>YEAR(Table13[[#This Row],[Date]])+IF(MONTH(Table13[[#This Row],[Date]])&gt;=4,1,0)</f>
        <v>2026</v>
      </c>
      <c r="C70" s="7">
        <f>YEAR(Table13[[#This Row],[Date]])</f>
        <v>2025</v>
      </c>
      <c r="D70" s="102">
        <f>Table13[[#This Row],[Date]]-DAY(Table13[[#This Row],[Date]])+1</f>
        <v>45809</v>
      </c>
      <c r="E70" s="7">
        <f t="shared" si="4"/>
        <v>30</v>
      </c>
      <c r="F70" s="103">
        <f>IFERROR(_xlfn.XLOOKUP($A70,'Raw Data'!$G:$G,'Raw Data'!$AM:$AM),"")</f>
        <v>12.616666666666667</v>
      </c>
      <c r="G70" s="104">
        <f>IFERROR(_xlfn.XLOOKUP($A70,'Raw Data'!$G:$G,'Raw Data'!$AB:$AB),"")</f>
        <v>0</v>
      </c>
      <c r="H70" s="104"/>
      <c r="I70" s="104">
        <f>IFERROR(_xlfn.XLOOKUP($A70,'Raw Data'!$G:$G,'Raw Data'!$AC:$AC),"")</f>
        <v>4.03</v>
      </c>
      <c r="J70" s="104"/>
      <c r="K70" s="104">
        <f>IFERROR(_xlfn.XLOOKUP($A70,'Raw Data'!$G:$G,'Raw Data'!AD:AD),"")</f>
        <v>0</v>
      </c>
      <c r="L70" s="104">
        <f>IFERROR(_xlfn.XLOOKUP($A70,'Raw Data'!$G:$G,'Raw Data'!AE:AE),"")</f>
        <v>37.67</v>
      </c>
      <c r="M70" s="104">
        <f>IFERROR(_xlfn.XLOOKUP($A70,'Raw Data'!$G:$G,'Raw Data'!AF:AF),"")</f>
        <v>0</v>
      </c>
      <c r="N70" s="104">
        <f>IFERROR(_xlfn.XLOOKUP($A70,'Raw Data'!$G:$G,'Raw Data'!AG:AG),"")</f>
        <v>0</v>
      </c>
      <c r="O70" s="105">
        <f>IFERROR(1-SUMIF('Plant BD'!$B:$B,$A70,'Plant BD'!$AM:$AM)/($AA70+SUMIF('Plant BD'!$B:$B,$A70,'Plant BD'!$AM:$AM)),"")</f>
        <v>1</v>
      </c>
      <c r="P70" s="105"/>
      <c r="Q70" s="106"/>
      <c r="R70" s="105">
        <f>IFERROR(1-SUMIF('Grid BD'!$B:$B,$A70,'Grid BD'!$AE:$AE)/($AA70+SUMIF('Grid BD'!$B:$B,$A70,'Grid BD'!$AE:$AE)),"")</f>
        <v>0.98051380795110832</v>
      </c>
      <c r="T70" s="106"/>
      <c r="U70" s="107">
        <f t="shared" si="5"/>
        <v>0.84766141507421155</v>
      </c>
      <c r="V70" s="107"/>
      <c r="W70" s="108">
        <f t="shared" si="6"/>
        <v>0.14233647928121135</v>
      </c>
      <c r="X70" s="101">
        <f>IFERROR(_xlfn.XLOOKUP($A70,'Raw Data'!$G:$G,'Raw Data'!AI:AI),"")</f>
        <v>27722.7</v>
      </c>
      <c r="Y70" s="101">
        <f>IFERROR(_xlfn.XLOOKUP($A70,'Raw Data'!$G:$G,'Raw Data'!AJ:AJ),"")</f>
        <v>27500</v>
      </c>
      <c r="Z70" s="101">
        <f>IFERROR(_xlfn.XLOOKUP($A70,'Raw Data'!$G:$G,'Raw Data'!AK:AK),"")</f>
        <v>99.999999999965894</v>
      </c>
      <c r="AA70" s="101">
        <f>IFERROR(_xlfn.XLOOKUP($A70,'Raw Data'!$G:$G,'Raw Data'!$AL:$AL)*(1+(_xlfn.XLOOKUP(Table13[[#This Row],[Month Year]],JMR!$A:$A,JMR!$J:$J))),"")</f>
        <v>27400.000000000033</v>
      </c>
      <c r="AB70" s="101">
        <f>IFERROR(_xlfn.XLOOKUP($A70,'Raw Data'!$G:$G,'Raw Data'!H:H),"")</f>
        <v>8.0208999999999993</v>
      </c>
      <c r="AC70" s="67">
        <f>IFERROR(_xlfn.XLOOKUP($D70,'Modelling New'!$D:$D,'Modelling New'!P:P),"")</f>
        <v>4.7600000000000007</v>
      </c>
      <c r="AD70" s="101">
        <f>IFERROR(_xlfn.XLOOKUP($D70,'Modelling New'!$D:$D,'Modelling New'!$T:$T)*1000,"")</f>
        <v>25919.748311299463</v>
      </c>
      <c r="AE70" s="109">
        <f>IFERROR(_xlfn.XLOOKUP($D70,'Modelling New'!$D:$D,'Modelling New'!O:O),"")</f>
        <v>0.67889205394445518</v>
      </c>
      <c r="AF70" s="108">
        <f>IFERROR(_xlfn.XLOOKUP($D70,'Modelling New'!$D:$D,'Modelling New'!W:W),"")</f>
        <v>0.13464692403231696</v>
      </c>
      <c r="AG70" s="108">
        <f>IFERROR(_xlfn.XLOOKUP($D70,'Modelling New'!$D:$D,'Modelling New'!AE:AE),"")</f>
        <v>0.98040000000000005</v>
      </c>
      <c r="AH70" s="128">
        <f>IFERROR(_xlfn.XLOOKUP($D70,'Modelling New'!$D:$D,'Modelling New'!AF:AF),"")</f>
        <v>0.98</v>
      </c>
      <c r="AN70" s="105"/>
      <c r="AO70" s="108"/>
      <c r="AP70" s="108"/>
      <c r="AQ70" s="108"/>
      <c r="AR70" s="101">
        <f>'Basic Data'!$B$98/1000</f>
        <v>8.0208999999999993</v>
      </c>
      <c r="AT70" s="7">
        <f>IFERROR(_xlfn.XLOOKUP(Table13[[#This Row],[Date]],'Raw Data'!$G:$G,'Raw Data'!$AN:$AN),"")</f>
        <v>0</v>
      </c>
      <c r="AU70" s="7">
        <f>IFERROR(_xlfn.XLOOKUP(Table13[[#This Row],[Month Year]],'Modelling New'!$D:$D,'Modelling New'!$AO:$AO),"")</f>
        <v>8</v>
      </c>
      <c r="AV70" s="7">
        <f>SUMIF('Curtailment Records'!$C:$C,Table13[[#This Row],[Date]],'Curtailment Records'!$R:$R)/1000</f>
        <v>0</v>
      </c>
    </row>
    <row r="71" spans="1:48" x14ac:dyDescent="0.3">
      <c r="A71" s="100">
        <f t="shared" si="7"/>
        <v>45814</v>
      </c>
      <c r="B71" s="101">
        <f>YEAR(Table13[[#This Row],[Date]])+IF(MONTH(Table13[[#This Row],[Date]])&gt;=4,1,0)</f>
        <v>2026</v>
      </c>
      <c r="C71" s="7">
        <f>YEAR(Table13[[#This Row],[Date]])</f>
        <v>2025</v>
      </c>
      <c r="D71" s="102">
        <f>Table13[[#This Row],[Date]]-DAY(Table13[[#This Row],[Date]])+1</f>
        <v>45809</v>
      </c>
      <c r="E71" s="7">
        <f t="shared" si="4"/>
        <v>30</v>
      </c>
      <c r="F71" s="103">
        <f>IFERROR(_xlfn.XLOOKUP($A71,'Raw Data'!$G:$G,'Raw Data'!$AM:$AM),"")</f>
        <v>12.483333333333334</v>
      </c>
      <c r="G71" s="104">
        <f>IFERROR(_xlfn.XLOOKUP($A71,'Raw Data'!$G:$G,'Raw Data'!$AB:$AB),"")</f>
        <v>0</v>
      </c>
      <c r="H71" s="104"/>
      <c r="I71" s="104">
        <f>IFERROR(_xlfn.XLOOKUP($A71,'Raw Data'!$G:$G,'Raw Data'!$AC:$AC),"")</f>
        <v>4.75</v>
      </c>
      <c r="J71" s="104"/>
      <c r="K71" s="104">
        <f>IFERROR(_xlfn.XLOOKUP($A71,'Raw Data'!$G:$G,'Raw Data'!AD:AD),"")</f>
        <v>0</v>
      </c>
      <c r="L71" s="104">
        <f>IFERROR(_xlfn.XLOOKUP($A71,'Raw Data'!$G:$G,'Raw Data'!AE:AE),"")</f>
        <v>41.22</v>
      </c>
      <c r="M71" s="104">
        <f>IFERROR(_xlfn.XLOOKUP($A71,'Raw Data'!$G:$G,'Raw Data'!AF:AF),"")</f>
        <v>0</v>
      </c>
      <c r="N71" s="104">
        <f>IFERROR(_xlfn.XLOOKUP($A71,'Raw Data'!$G:$G,'Raw Data'!AG:AG),"")</f>
        <v>0</v>
      </c>
      <c r="O71" s="105">
        <f>IFERROR(1-SUMIF('Plant BD'!$B:$B,$A71,'Plant BD'!$AM:$AM)/($AA71+SUMIF('Plant BD'!$B:$B,$A71,'Plant BD'!$AM:$AM)),"")</f>
        <v>1</v>
      </c>
      <c r="P71" s="105"/>
      <c r="Q71" s="106"/>
      <c r="R71" s="105">
        <f>IFERROR(1-SUMIF('Grid BD'!$B:$B,$A71,'Grid BD'!$AE:$AE)/($AA71+SUMIF('Grid BD'!$B:$B,$A71,'Grid BD'!$AE:$AE)),"")</f>
        <v>1</v>
      </c>
      <c r="T71" s="106"/>
      <c r="U71" s="107">
        <f t="shared" si="5"/>
        <v>0.78347947565923692</v>
      </c>
      <c r="V71" s="107"/>
      <c r="W71" s="108">
        <f t="shared" si="6"/>
        <v>0.15506364622422394</v>
      </c>
      <c r="X71" s="101">
        <f>IFERROR(_xlfn.XLOOKUP($A71,'Raw Data'!$G:$G,'Raw Data'!AI:AI),"")</f>
        <v>30212.799999999999</v>
      </c>
      <c r="Y71" s="101">
        <f>IFERROR(_xlfn.XLOOKUP($A71,'Raw Data'!$G:$G,'Raw Data'!AJ:AJ),"")</f>
        <v>29949.99999999709</v>
      </c>
      <c r="Z71" s="101">
        <f>IFERROR(_xlfn.XLOOKUP($A71,'Raw Data'!$G:$G,'Raw Data'!AK:AK),"")</f>
        <v>100.00000000002274</v>
      </c>
      <c r="AA71" s="101">
        <f>IFERROR(_xlfn.XLOOKUP($A71,'Raw Data'!$G:$G,'Raw Data'!$AL:$AL)*(1+(_xlfn.XLOOKUP(Table13[[#This Row],[Month Year]],JMR!$A:$A,JMR!$J:$J))),"")</f>
        <v>29849.999999997068</v>
      </c>
      <c r="AB71" s="101">
        <f>IFERROR(_xlfn.XLOOKUP($A71,'Raw Data'!$G:$G,'Raw Data'!H:H),"")</f>
        <v>8.0208999999999993</v>
      </c>
      <c r="AC71" s="67">
        <f>IFERROR(_xlfn.XLOOKUP($D71,'Modelling New'!$D:$D,'Modelling New'!P:P),"")</f>
        <v>4.7600000000000007</v>
      </c>
      <c r="AD71" s="101">
        <f>IFERROR(_xlfn.XLOOKUP($D71,'Modelling New'!$D:$D,'Modelling New'!$T:$T)*1000,"")</f>
        <v>25919.748311299463</v>
      </c>
      <c r="AE71" s="109">
        <f>IFERROR(_xlfn.XLOOKUP($D71,'Modelling New'!$D:$D,'Modelling New'!O:O),"")</f>
        <v>0.67889205394445518</v>
      </c>
      <c r="AF71" s="108">
        <f>IFERROR(_xlfn.XLOOKUP($D71,'Modelling New'!$D:$D,'Modelling New'!W:W),"")</f>
        <v>0.13464692403231696</v>
      </c>
      <c r="AG71" s="108">
        <f>IFERROR(_xlfn.XLOOKUP($D71,'Modelling New'!$D:$D,'Modelling New'!AE:AE),"")</f>
        <v>0.98040000000000005</v>
      </c>
      <c r="AH71" s="128">
        <f>IFERROR(_xlfn.XLOOKUP($D71,'Modelling New'!$D:$D,'Modelling New'!AF:AF),"")</f>
        <v>0.98</v>
      </c>
      <c r="AN71" s="105"/>
      <c r="AO71" s="108"/>
      <c r="AP71" s="108"/>
      <c r="AQ71" s="108"/>
      <c r="AR71" s="101">
        <f>'Basic Data'!$B$98/1000</f>
        <v>8.0208999999999993</v>
      </c>
      <c r="AT71" s="7">
        <f>IFERROR(_xlfn.XLOOKUP(Table13[[#This Row],[Date]],'Raw Data'!$G:$G,'Raw Data'!$AN:$AN),"")</f>
        <v>0</v>
      </c>
      <c r="AU71" s="7">
        <f>IFERROR(_xlfn.XLOOKUP(Table13[[#This Row],[Month Year]],'Modelling New'!$D:$D,'Modelling New'!$AO:$AO),"")</f>
        <v>8</v>
      </c>
      <c r="AV71" s="7">
        <f>SUMIF('Curtailment Records'!$C:$C,Table13[[#This Row],[Date]],'Curtailment Records'!$R:$R)/1000</f>
        <v>0</v>
      </c>
    </row>
    <row r="72" spans="1:48" x14ac:dyDescent="0.3">
      <c r="A72" s="100">
        <f t="shared" si="7"/>
        <v>45815</v>
      </c>
      <c r="B72" s="101">
        <f>YEAR(Table13[[#This Row],[Date]])+IF(MONTH(Table13[[#This Row],[Date]])&gt;=4,1,0)</f>
        <v>2026</v>
      </c>
      <c r="C72" s="7">
        <f>YEAR(Table13[[#This Row],[Date]])</f>
        <v>2025</v>
      </c>
      <c r="D72" s="102">
        <f>Table13[[#This Row],[Date]]-DAY(Table13[[#This Row],[Date]])+1</f>
        <v>45809</v>
      </c>
      <c r="E72" s="7">
        <f t="shared" si="4"/>
        <v>30</v>
      </c>
      <c r="F72" s="103">
        <f>IFERROR(_xlfn.XLOOKUP($A72,'Raw Data'!$G:$G,'Raw Data'!$AM:$AM),"")</f>
        <v>12.933333333333334</v>
      </c>
      <c r="G72" s="104">
        <f>IFERROR(_xlfn.XLOOKUP($A72,'Raw Data'!$G:$G,'Raw Data'!$AB:$AB),"")</f>
        <v>0</v>
      </c>
      <c r="H72" s="104"/>
      <c r="I72" s="104">
        <f>IFERROR(_xlfn.XLOOKUP($A72,'Raw Data'!$G:$G,'Raw Data'!$AC:$AC),"")</f>
        <v>4.29</v>
      </c>
      <c r="J72" s="104"/>
      <c r="K72" s="104">
        <f>IFERROR(_xlfn.XLOOKUP($A72,'Raw Data'!$G:$G,'Raw Data'!AD:AD),"")</f>
        <v>0</v>
      </c>
      <c r="L72" s="104">
        <f>IFERROR(_xlfn.XLOOKUP($A72,'Raw Data'!$G:$G,'Raw Data'!AE:AE),"")</f>
        <v>37.89</v>
      </c>
      <c r="M72" s="104">
        <f>IFERROR(_xlfn.XLOOKUP($A72,'Raw Data'!$G:$G,'Raw Data'!AF:AF),"")</f>
        <v>0</v>
      </c>
      <c r="N72" s="104">
        <f>IFERROR(_xlfn.XLOOKUP($A72,'Raw Data'!$G:$G,'Raw Data'!AG:AG),"")</f>
        <v>0</v>
      </c>
      <c r="O72" s="105">
        <f>IFERROR(1-SUMIF('Plant BD'!$B:$B,$A72,'Plant BD'!$AM:$AM)/($AA72+SUMIF('Plant BD'!$B:$B,$A72,'Plant BD'!$AM:$AM)),"")</f>
        <v>1</v>
      </c>
      <c r="P72" s="105"/>
      <c r="Q72" s="106"/>
      <c r="R72" s="105">
        <f>IFERROR(1-SUMIF('Grid BD'!$B:$B,$A72,'Grid BD'!$AE:$AE)/($AA72+SUMIF('Grid BD'!$B:$B,$A72,'Grid BD'!$AE:$AE)),"")</f>
        <v>0.92715369752243182</v>
      </c>
      <c r="T72" s="106"/>
      <c r="U72" s="107">
        <f t="shared" si="5"/>
        <v>0.72508706203187789</v>
      </c>
      <c r="V72" s="107"/>
      <c r="W72" s="108">
        <f t="shared" si="6"/>
        <v>0.12960931233819817</v>
      </c>
      <c r="X72" s="101">
        <f>IFERROR(_xlfn.XLOOKUP($A72,'Raw Data'!$G:$G,'Raw Data'!AI:AI),"")</f>
        <v>25280.1</v>
      </c>
      <c r="Y72" s="101">
        <f>IFERROR(_xlfn.XLOOKUP($A72,'Raw Data'!$G:$G,'Raw Data'!AJ:AJ),"")</f>
        <v>25050.00000000291</v>
      </c>
      <c r="Z72" s="101">
        <f>IFERROR(_xlfn.XLOOKUP($A72,'Raw Data'!$G:$G,'Raw Data'!AK:AK),"")</f>
        <v>100.00000000002274</v>
      </c>
      <c r="AA72" s="101">
        <f>IFERROR(_xlfn.XLOOKUP($A72,'Raw Data'!$G:$G,'Raw Data'!$AL:$AL)*(1+(_xlfn.XLOOKUP(Table13[[#This Row],[Month Year]],JMR!$A:$A,JMR!$J:$J))),"")</f>
        <v>24950.000000002889</v>
      </c>
      <c r="AB72" s="101">
        <f>IFERROR(_xlfn.XLOOKUP($A72,'Raw Data'!$G:$G,'Raw Data'!H:H),"")</f>
        <v>8.0208999999999993</v>
      </c>
      <c r="AC72" s="67">
        <f>IFERROR(_xlfn.XLOOKUP($D72,'Modelling New'!$D:$D,'Modelling New'!P:P),"")</f>
        <v>4.7600000000000007</v>
      </c>
      <c r="AD72" s="101">
        <f>IFERROR(_xlfn.XLOOKUP($D72,'Modelling New'!$D:$D,'Modelling New'!$T:$T)*1000,"")</f>
        <v>25919.748311299463</v>
      </c>
      <c r="AE72" s="109">
        <f>IFERROR(_xlfn.XLOOKUP($D72,'Modelling New'!$D:$D,'Modelling New'!O:O),"")</f>
        <v>0.67889205394445518</v>
      </c>
      <c r="AF72" s="108">
        <f>IFERROR(_xlfn.XLOOKUP($D72,'Modelling New'!$D:$D,'Modelling New'!W:W),"")</f>
        <v>0.13464692403231696</v>
      </c>
      <c r="AG72" s="108">
        <f>IFERROR(_xlfn.XLOOKUP($D72,'Modelling New'!$D:$D,'Modelling New'!AE:AE),"")</f>
        <v>0.98040000000000005</v>
      </c>
      <c r="AH72" s="128">
        <f>IFERROR(_xlfn.XLOOKUP($D72,'Modelling New'!$D:$D,'Modelling New'!AF:AF),"")</f>
        <v>0.98</v>
      </c>
      <c r="AN72" s="105"/>
      <c r="AO72" s="108"/>
      <c r="AP72" s="108"/>
      <c r="AQ72" s="108"/>
      <c r="AR72" s="101">
        <f>'Basic Data'!$B$98/1000</f>
        <v>8.0208999999999993</v>
      </c>
      <c r="AT72" s="7">
        <f>IFERROR(_xlfn.XLOOKUP(Table13[[#This Row],[Date]],'Raw Data'!$G:$G,'Raw Data'!$AN:$AN),"")</f>
        <v>0</v>
      </c>
      <c r="AU72" s="7">
        <f>IFERROR(_xlfn.XLOOKUP(Table13[[#This Row],[Month Year]],'Modelling New'!$D:$D,'Modelling New'!$AO:$AO),"")</f>
        <v>8</v>
      </c>
      <c r="AV72" s="7">
        <f>SUMIF('Curtailment Records'!$C:$C,Table13[[#This Row],[Date]],'Curtailment Records'!$R:$R)/1000</f>
        <v>0</v>
      </c>
    </row>
    <row r="73" spans="1:48" x14ac:dyDescent="0.3">
      <c r="A73" s="100">
        <f t="shared" si="7"/>
        <v>45816</v>
      </c>
      <c r="B73" s="101">
        <f>YEAR(Table13[[#This Row],[Date]])+IF(MONTH(Table13[[#This Row],[Date]])&gt;=4,1,0)</f>
        <v>2026</v>
      </c>
      <c r="C73" s="7">
        <f>YEAR(Table13[[#This Row],[Date]])</f>
        <v>2025</v>
      </c>
      <c r="D73" s="102">
        <f>Table13[[#This Row],[Date]]-DAY(Table13[[#This Row],[Date]])+1</f>
        <v>45809</v>
      </c>
      <c r="E73" s="7">
        <f t="shared" si="4"/>
        <v>30</v>
      </c>
      <c r="F73" s="103">
        <f>IFERROR(_xlfn.XLOOKUP($A73,'Raw Data'!$G:$G,'Raw Data'!$AM:$AM),"")</f>
        <v>12.533333333333335</v>
      </c>
      <c r="G73" s="104">
        <f>IFERROR(_xlfn.XLOOKUP($A73,'Raw Data'!$G:$G,'Raw Data'!$AB:$AB),"")</f>
        <v>0</v>
      </c>
      <c r="H73" s="104"/>
      <c r="I73" s="104">
        <f>IFERROR(_xlfn.XLOOKUP($A73,'Raw Data'!$G:$G,'Raw Data'!$AC:$AC),"")</f>
        <v>4.79</v>
      </c>
      <c r="J73" s="104"/>
      <c r="K73" s="104">
        <f>IFERROR(_xlfn.XLOOKUP($A73,'Raw Data'!$G:$G,'Raw Data'!AD:AD),"")</f>
        <v>0</v>
      </c>
      <c r="L73" s="104">
        <f>IFERROR(_xlfn.XLOOKUP($A73,'Raw Data'!$G:$G,'Raw Data'!AE:AE),"")</f>
        <v>38.24</v>
      </c>
      <c r="M73" s="104">
        <f>IFERROR(_xlfn.XLOOKUP($A73,'Raw Data'!$G:$G,'Raw Data'!AF:AF),"")</f>
        <v>0</v>
      </c>
      <c r="N73" s="104">
        <f>IFERROR(_xlfn.XLOOKUP($A73,'Raw Data'!$G:$G,'Raw Data'!AG:AG),"")</f>
        <v>0</v>
      </c>
      <c r="O73" s="105">
        <f>IFERROR(1-SUMIF('Plant BD'!$B:$B,$A73,'Plant BD'!$AM:$AM)/($AA73+SUMIF('Plant BD'!$B:$B,$A73,'Plant BD'!$AM:$AM)),"")</f>
        <v>1</v>
      </c>
      <c r="P73" s="105"/>
      <c r="Q73" s="106"/>
      <c r="R73" s="105">
        <f>IFERROR(1-SUMIF('Grid BD'!$B:$B,$A73,'Grid BD'!$AE:$AE)/($AA73+SUMIF('Grid BD'!$B:$B,$A73,'Grid BD'!$AE:$AE)),"")</f>
        <v>1</v>
      </c>
      <c r="T73" s="106"/>
      <c r="U73" s="107">
        <f t="shared" si="5"/>
        <v>0.82118450933181242</v>
      </c>
      <c r="V73" s="107"/>
      <c r="W73" s="108">
        <f t="shared" si="6"/>
        <v>0.16389474165414086</v>
      </c>
      <c r="X73" s="101">
        <f>IFERROR(_xlfn.XLOOKUP($A73,'Raw Data'!$G:$G,'Raw Data'!AI:AI),"")</f>
        <v>31919.200000000001</v>
      </c>
      <c r="Y73" s="101">
        <f>IFERROR(_xlfn.XLOOKUP($A73,'Raw Data'!$G:$G,'Raw Data'!AJ:AJ),"")</f>
        <v>31650.000000008731</v>
      </c>
      <c r="Z73" s="101">
        <f>IFERROR(_xlfn.XLOOKUP($A73,'Raw Data'!$G:$G,'Raw Data'!AK:AK),"")</f>
        <v>99.999999999965894</v>
      </c>
      <c r="AA73" s="101">
        <f>IFERROR(_xlfn.XLOOKUP($A73,'Raw Data'!$G:$G,'Raw Data'!$AL:$AL)*(1+(_xlfn.XLOOKUP(Table13[[#This Row],[Month Year]],JMR!$A:$A,JMR!$J:$J))),"")</f>
        <v>31550.000000008764</v>
      </c>
      <c r="AB73" s="101">
        <f>IFERROR(_xlfn.XLOOKUP($A73,'Raw Data'!$G:$G,'Raw Data'!H:H),"")</f>
        <v>8.0208999999999993</v>
      </c>
      <c r="AC73" s="67">
        <f>IFERROR(_xlfn.XLOOKUP($D73,'Modelling New'!$D:$D,'Modelling New'!P:P),"")</f>
        <v>4.7600000000000007</v>
      </c>
      <c r="AD73" s="101">
        <f>IFERROR(_xlfn.XLOOKUP($D73,'Modelling New'!$D:$D,'Modelling New'!$T:$T)*1000,"")</f>
        <v>25919.748311299463</v>
      </c>
      <c r="AE73" s="109">
        <f>IFERROR(_xlfn.XLOOKUP($D73,'Modelling New'!$D:$D,'Modelling New'!O:O),"")</f>
        <v>0.67889205394445518</v>
      </c>
      <c r="AF73" s="108">
        <f>IFERROR(_xlfn.XLOOKUP($D73,'Modelling New'!$D:$D,'Modelling New'!W:W),"")</f>
        <v>0.13464692403231696</v>
      </c>
      <c r="AG73" s="108">
        <f>IFERROR(_xlfn.XLOOKUP($D73,'Modelling New'!$D:$D,'Modelling New'!AE:AE),"")</f>
        <v>0.98040000000000005</v>
      </c>
      <c r="AH73" s="128">
        <f>IFERROR(_xlfn.XLOOKUP($D73,'Modelling New'!$D:$D,'Modelling New'!AF:AF),"")</f>
        <v>0.98</v>
      </c>
      <c r="AN73" s="105"/>
      <c r="AO73" s="108"/>
      <c r="AP73" s="108"/>
      <c r="AQ73" s="108"/>
      <c r="AR73" s="101">
        <f>'Basic Data'!$B$98/1000</f>
        <v>8.0208999999999993</v>
      </c>
      <c r="AT73" s="7">
        <f>IFERROR(_xlfn.XLOOKUP(Table13[[#This Row],[Date]],'Raw Data'!$G:$G,'Raw Data'!$AN:$AN),"")</f>
        <v>0</v>
      </c>
      <c r="AU73" s="7">
        <f>IFERROR(_xlfn.XLOOKUP(Table13[[#This Row],[Month Year]],'Modelling New'!$D:$D,'Modelling New'!$AO:$AO),"")</f>
        <v>8</v>
      </c>
      <c r="AV73" s="7">
        <f>SUMIF('Curtailment Records'!$C:$C,Table13[[#This Row],[Date]],'Curtailment Records'!$R:$R)/1000</f>
        <v>0</v>
      </c>
    </row>
    <row r="74" spans="1:48" x14ac:dyDescent="0.3">
      <c r="A74" s="100">
        <f t="shared" si="7"/>
        <v>45817</v>
      </c>
      <c r="B74" s="101">
        <f>YEAR(Table13[[#This Row],[Date]])+IF(MONTH(Table13[[#This Row],[Date]])&gt;=4,1,0)</f>
        <v>2026</v>
      </c>
      <c r="C74" s="7">
        <f>YEAR(Table13[[#This Row],[Date]])</f>
        <v>2025</v>
      </c>
      <c r="D74" s="102">
        <f>Table13[[#This Row],[Date]]-DAY(Table13[[#This Row],[Date]])+1</f>
        <v>45809</v>
      </c>
      <c r="E74" s="7">
        <f t="shared" si="4"/>
        <v>30</v>
      </c>
      <c r="F74" s="103">
        <f>IFERROR(_xlfn.XLOOKUP($A74,'Raw Data'!$G:$G,'Raw Data'!$AM:$AM),"")</f>
        <v>12.1</v>
      </c>
      <c r="G74" s="104">
        <f>IFERROR(_xlfn.XLOOKUP($A74,'Raw Data'!$G:$G,'Raw Data'!$AB:$AB),"")</f>
        <v>0</v>
      </c>
      <c r="H74" s="104"/>
      <c r="I74" s="104">
        <f>IFERROR(_xlfn.XLOOKUP($A74,'Raw Data'!$G:$G,'Raw Data'!$AC:$AC),"")</f>
        <v>1.05</v>
      </c>
      <c r="J74" s="104"/>
      <c r="K74" s="104">
        <f>IFERROR(_xlfn.XLOOKUP($A74,'Raw Data'!$G:$G,'Raw Data'!AD:AD),"")</f>
        <v>0</v>
      </c>
      <c r="L74" s="104">
        <f>IFERROR(_xlfn.XLOOKUP($A74,'Raw Data'!$G:$G,'Raw Data'!AE:AE),"")</f>
        <v>26.95</v>
      </c>
      <c r="M74" s="104">
        <f>IFERROR(_xlfn.XLOOKUP($A74,'Raw Data'!$G:$G,'Raw Data'!AF:AF),"")</f>
        <v>0</v>
      </c>
      <c r="N74" s="104">
        <f>IFERROR(_xlfn.XLOOKUP($A74,'Raw Data'!$G:$G,'Raw Data'!AG:AG),"")</f>
        <v>0</v>
      </c>
      <c r="O74" s="105">
        <f>IFERROR(1-SUMIF('Plant BD'!$B:$B,$A74,'Plant BD'!$AM:$AM)/($AA74+SUMIF('Plant BD'!$B:$B,$A74,'Plant BD'!$AM:$AM)),"")</f>
        <v>1</v>
      </c>
      <c r="P74" s="105"/>
      <c r="Q74" s="106"/>
      <c r="R74" s="105">
        <f>IFERROR(1-SUMIF('Grid BD'!$B:$B,$A74,'Grid BD'!$AE:$AE)/($AA74+SUMIF('Grid BD'!$B:$B,$A74,'Grid BD'!$AE:$AE)),"")</f>
        <v>0.68331323177380232</v>
      </c>
      <c r="T74" s="106"/>
      <c r="U74" s="107">
        <f t="shared" si="5"/>
        <v>0.53431837894824141</v>
      </c>
      <c r="V74" s="107"/>
      <c r="W74" s="108">
        <f t="shared" si="6"/>
        <v>2.3376429078985555E-2</v>
      </c>
      <c r="X74" s="101">
        <f>IFERROR(_xlfn.XLOOKUP($A74,'Raw Data'!$G:$G,'Raw Data'!AI:AI),"")</f>
        <v>4681</v>
      </c>
      <c r="Y74" s="101">
        <f>IFERROR(_xlfn.XLOOKUP($A74,'Raw Data'!$G:$G,'Raw Data'!AJ:AJ),"")</f>
        <v>4599.9999999912689</v>
      </c>
      <c r="Z74" s="101">
        <f>IFERROR(_xlfn.XLOOKUP($A74,'Raw Data'!$G:$G,'Raw Data'!AK:AK),"")</f>
        <v>100.00000000002274</v>
      </c>
      <c r="AA74" s="101">
        <f>IFERROR(_xlfn.XLOOKUP($A74,'Raw Data'!$G:$G,'Raw Data'!$AL:$AL)*(1+(_xlfn.XLOOKUP(Table13[[#This Row],[Month Year]],JMR!$A:$A,JMR!$J:$J))),"")</f>
        <v>4499.9999999912461</v>
      </c>
      <c r="AB74" s="101">
        <f>IFERROR(_xlfn.XLOOKUP($A74,'Raw Data'!$G:$G,'Raw Data'!H:H),"")</f>
        <v>8.0208999999999993</v>
      </c>
      <c r="AC74" s="67">
        <f>IFERROR(_xlfn.XLOOKUP($D74,'Modelling New'!$D:$D,'Modelling New'!P:P),"")</f>
        <v>4.7600000000000007</v>
      </c>
      <c r="AD74" s="101">
        <f>IFERROR(_xlfn.XLOOKUP($D74,'Modelling New'!$D:$D,'Modelling New'!$T:$T)*1000,"")</f>
        <v>25919.748311299463</v>
      </c>
      <c r="AE74" s="109">
        <f>IFERROR(_xlfn.XLOOKUP($D74,'Modelling New'!$D:$D,'Modelling New'!O:O),"")</f>
        <v>0.67889205394445518</v>
      </c>
      <c r="AF74" s="108">
        <f>IFERROR(_xlfn.XLOOKUP($D74,'Modelling New'!$D:$D,'Modelling New'!W:W),"")</f>
        <v>0.13464692403231696</v>
      </c>
      <c r="AG74" s="108">
        <f>IFERROR(_xlfn.XLOOKUP($D74,'Modelling New'!$D:$D,'Modelling New'!AE:AE),"")</f>
        <v>0.98040000000000005</v>
      </c>
      <c r="AH74" s="128">
        <f>IFERROR(_xlfn.XLOOKUP($D74,'Modelling New'!$D:$D,'Modelling New'!AF:AF),"")</f>
        <v>0.98</v>
      </c>
      <c r="AN74" s="105"/>
      <c r="AO74" s="108"/>
      <c r="AP74" s="108"/>
      <c r="AQ74" s="108"/>
      <c r="AR74" s="101">
        <f>'Basic Data'!$B$98/1000</f>
        <v>8.0208999999999993</v>
      </c>
      <c r="AT74" s="7">
        <f>IFERROR(_xlfn.XLOOKUP(Table13[[#This Row],[Date]],'Raw Data'!$G:$G,'Raw Data'!$AN:$AN),"")</f>
        <v>0</v>
      </c>
      <c r="AU74" s="7">
        <f>IFERROR(_xlfn.XLOOKUP(Table13[[#This Row],[Month Year]],'Modelling New'!$D:$D,'Modelling New'!$AO:$AO),"")</f>
        <v>8</v>
      </c>
      <c r="AV74" s="7">
        <f>SUMIF('Curtailment Records'!$C:$C,Table13[[#This Row],[Date]],'Curtailment Records'!$R:$R)/1000</f>
        <v>0</v>
      </c>
    </row>
    <row r="75" spans="1:48" x14ac:dyDescent="0.3">
      <c r="A75" s="100">
        <f t="shared" si="7"/>
        <v>45818</v>
      </c>
      <c r="B75" s="101">
        <f>YEAR(Table13[[#This Row],[Date]])+IF(MONTH(Table13[[#This Row],[Date]])&gt;=4,1,0)</f>
        <v>2026</v>
      </c>
      <c r="C75" s="7">
        <f>YEAR(Table13[[#This Row],[Date]])</f>
        <v>2025</v>
      </c>
      <c r="D75" s="102">
        <f>Table13[[#This Row],[Date]]-DAY(Table13[[#This Row],[Date]])+1</f>
        <v>45809</v>
      </c>
      <c r="E75" s="7">
        <f t="shared" si="4"/>
        <v>30</v>
      </c>
      <c r="F75" s="103">
        <f>IFERROR(_xlfn.XLOOKUP($A75,'Raw Data'!$G:$G,'Raw Data'!$AM:$AM),"")</f>
        <v>12.616666666666667</v>
      </c>
      <c r="G75" s="104">
        <f>IFERROR(_xlfn.XLOOKUP($A75,'Raw Data'!$G:$G,'Raw Data'!$AB:$AB),"")</f>
        <v>0</v>
      </c>
      <c r="H75" s="104"/>
      <c r="I75" s="104">
        <f>IFERROR(_xlfn.XLOOKUP($A75,'Raw Data'!$G:$G,'Raw Data'!$AC:$AC),"")</f>
        <v>1.62</v>
      </c>
      <c r="J75" s="104"/>
      <c r="K75" s="104">
        <f>IFERROR(_xlfn.XLOOKUP($A75,'Raw Data'!$G:$G,'Raw Data'!AD:AD),"")</f>
        <v>0</v>
      </c>
      <c r="L75" s="104">
        <f>IFERROR(_xlfn.XLOOKUP($A75,'Raw Data'!$G:$G,'Raw Data'!AE:AE),"")</f>
        <v>28.69</v>
      </c>
      <c r="M75" s="104">
        <f>IFERROR(_xlfn.XLOOKUP($A75,'Raw Data'!$G:$G,'Raw Data'!AF:AF),"")</f>
        <v>0</v>
      </c>
      <c r="N75" s="104">
        <f>IFERROR(_xlfn.XLOOKUP($A75,'Raw Data'!$G:$G,'Raw Data'!AG:AG),"")</f>
        <v>0</v>
      </c>
      <c r="O75" s="105">
        <f>IFERROR(1-SUMIF('Plant BD'!$B:$B,$A75,'Plant BD'!$AM:$AM)/($AA75+SUMIF('Plant BD'!$B:$B,$A75,'Plant BD'!$AM:$AM)),"")</f>
        <v>1</v>
      </c>
      <c r="P75" s="105"/>
      <c r="Q75" s="106"/>
      <c r="R75" s="105">
        <f>IFERROR(1-SUMIF('Grid BD'!$B:$B,$A75,'Grid BD'!$AE:$AE)/($AA75+SUMIF('Grid BD'!$B:$B,$A75,'Grid BD'!$AE:$AE)),"")</f>
        <v>1</v>
      </c>
      <c r="T75" s="106"/>
      <c r="U75" s="107">
        <f t="shared" si="5"/>
        <v>0.84655381026988707</v>
      </c>
      <c r="V75" s="107"/>
      <c r="W75" s="108">
        <f t="shared" si="6"/>
        <v>5.7142382193217378E-2</v>
      </c>
      <c r="X75" s="101">
        <f>IFERROR(_xlfn.XLOOKUP($A75,'Raw Data'!$G:$G,'Raw Data'!AI:AI),"")</f>
        <v>11204.900000000001</v>
      </c>
      <c r="Y75" s="101">
        <f>IFERROR(_xlfn.XLOOKUP($A75,'Raw Data'!$G:$G,'Raw Data'!AJ:AJ),"")</f>
        <v>11100.000000005821</v>
      </c>
      <c r="Z75" s="101">
        <f>IFERROR(_xlfn.XLOOKUP($A75,'Raw Data'!$G:$G,'Raw Data'!AK:AK),"")</f>
        <v>99.999999999965894</v>
      </c>
      <c r="AA75" s="101">
        <f>IFERROR(_xlfn.XLOOKUP($A75,'Raw Data'!$G:$G,'Raw Data'!$AL:$AL)*(1+(_xlfn.XLOOKUP(Table13[[#This Row],[Month Year]],JMR!$A:$A,JMR!$J:$J))),"")</f>
        <v>11000.000000005855</v>
      </c>
      <c r="AB75" s="101">
        <f>IFERROR(_xlfn.XLOOKUP($A75,'Raw Data'!$G:$G,'Raw Data'!H:H),"")</f>
        <v>8.0208999999999993</v>
      </c>
      <c r="AC75" s="67">
        <f>IFERROR(_xlfn.XLOOKUP($D75,'Modelling New'!$D:$D,'Modelling New'!P:P),"")</f>
        <v>4.7600000000000007</v>
      </c>
      <c r="AD75" s="101">
        <f>IFERROR(_xlfn.XLOOKUP($D75,'Modelling New'!$D:$D,'Modelling New'!$T:$T)*1000,"")</f>
        <v>25919.748311299463</v>
      </c>
      <c r="AE75" s="109">
        <f>IFERROR(_xlfn.XLOOKUP($D75,'Modelling New'!$D:$D,'Modelling New'!O:O),"")</f>
        <v>0.67889205394445518</v>
      </c>
      <c r="AF75" s="108">
        <f>IFERROR(_xlfn.XLOOKUP($D75,'Modelling New'!$D:$D,'Modelling New'!W:W),"")</f>
        <v>0.13464692403231696</v>
      </c>
      <c r="AG75" s="108">
        <f>IFERROR(_xlfn.XLOOKUP($D75,'Modelling New'!$D:$D,'Modelling New'!AE:AE),"")</f>
        <v>0.98040000000000005</v>
      </c>
      <c r="AH75" s="128">
        <f>IFERROR(_xlfn.XLOOKUP($D75,'Modelling New'!$D:$D,'Modelling New'!AF:AF),"")</f>
        <v>0.98</v>
      </c>
      <c r="AN75" s="105"/>
      <c r="AO75" s="108"/>
      <c r="AP75" s="108"/>
      <c r="AQ75" s="108"/>
      <c r="AR75" s="101">
        <f>'Basic Data'!$B$98/1000</f>
        <v>8.0208999999999993</v>
      </c>
      <c r="AT75" s="7">
        <f>IFERROR(_xlfn.XLOOKUP(Table13[[#This Row],[Date]],'Raw Data'!$G:$G,'Raw Data'!$AN:$AN),"")</f>
        <v>0</v>
      </c>
      <c r="AU75" s="7">
        <f>IFERROR(_xlfn.XLOOKUP(Table13[[#This Row],[Month Year]],'Modelling New'!$D:$D,'Modelling New'!$AO:$AO),"")</f>
        <v>8</v>
      </c>
      <c r="AV75" s="7">
        <f>SUMIF('Curtailment Records'!$C:$C,Table13[[#This Row],[Date]],'Curtailment Records'!$R:$R)/1000</f>
        <v>0</v>
      </c>
    </row>
    <row r="76" spans="1:48" x14ac:dyDescent="0.3">
      <c r="A76" s="100">
        <f t="shared" si="7"/>
        <v>45819</v>
      </c>
      <c r="B76" s="101">
        <f>YEAR(Table13[[#This Row],[Date]])+IF(MONTH(Table13[[#This Row],[Date]])&gt;=4,1,0)</f>
        <v>2026</v>
      </c>
      <c r="C76" s="7">
        <f>YEAR(Table13[[#This Row],[Date]])</f>
        <v>2025</v>
      </c>
      <c r="D76" s="102">
        <f>Table13[[#This Row],[Date]]-DAY(Table13[[#This Row],[Date]])+1</f>
        <v>45809</v>
      </c>
      <c r="E76" s="7">
        <f t="shared" si="4"/>
        <v>30</v>
      </c>
      <c r="F76" s="103">
        <f>IFERROR(_xlfn.XLOOKUP($A76,'Raw Data'!$G:$G,'Raw Data'!$AM:$AM),"")</f>
        <v>12.566666666666666</v>
      </c>
      <c r="G76" s="104">
        <f>IFERROR(_xlfn.XLOOKUP($A76,'Raw Data'!$G:$G,'Raw Data'!$AB:$AB),"")</f>
        <v>0</v>
      </c>
      <c r="H76" s="104"/>
      <c r="I76" s="104">
        <f>IFERROR(_xlfn.XLOOKUP($A76,'Raw Data'!$G:$G,'Raw Data'!$AC:$AC),"")</f>
        <v>3.59</v>
      </c>
      <c r="J76" s="104"/>
      <c r="K76" s="104">
        <f>IFERROR(_xlfn.XLOOKUP($A76,'Raw Data'!$G:$G,'Raw Data'!AD:AD),"")</f>
        <v>0</v>
      </c>
      <c r="L76" s="104">
        <f>IFERROR(_xlfn.XLOOKUP($A76,'Raw Data'!$G:$G,'Raw Data'!AE:AE),"")</f>
        <v>32.619999999999997</v>
      </c>
      <c r="M76" s="104">
        <f>IFERROR(_xlfn.XLOOKUP($A76,'Raw Data'!$G:$G,'Raw Data'!AF:AF),"")</f>
        <v>0</v>
      </c>
      <c r="N76" s="104">
        <f>IFERROR(_xlfn.XLOOKUP($A76,'Raw Data'!$G:$G,'Raw Data'!AG:AG),"")</f>
        <v>0</v>
      </c>
      <c r="O76" s="105">
        <f>IFERROR(1-SUMIF('Plant BD'!$B:$B,$A76,'Plant BD'!$AM:$AM)/($AA76+SUMIF('Plant BD'!$B:$B,$A76,'Plant BD'!$AM:$AM)),"")</f>
        <v>1</v>
      </c>
      <c r="P76" s="105"/>
      <c r="Q76" s="106"/>
      <c r="R76" s="105">
        <f>IFERROR(1-SUMIF('Grid BD'!$B:$B,$A76,'Grid BD'!$AE:$AE)/($AA76+SUMIF('Grid BD'!$B:$B,$A76,'Grid BD'!$AE:$AE)),"")</f>
        <v>1</v>
      </c>
      <c r="T76" s="106"/>
      <c r="U76" s="107">
        <f t="shared" si="5"/>
        <v>0.86473252972014447</v>
      </c>
      <c r="V76" s="107"/>
      <c r="W76" s="108">
        <f t="shared" si="6"/>
        <v>0.12934957423730492</v>
      </c>
      <c r="X76" s="101">
        <f>IFERROR(_xlfn.XLOOKUP($A76,'Raw Data'!$G:$G,'Raw Data'!AI:AI),"")</f>
        <v>25245</v>
      </c>
      <c r="Y76" s="101">
        <f>IFERROR(_xlfn.XLOOKUP($A76,'Raw Data'!$G:$G,'Raw Data'!AJ:AJ),"")</f>
        <v>25000</v>
      </c>
      <c r="Z76" s="101">
        <f>IFERROR(_xlfn.XLOOKUP($A76,'Raw Data'!$G:$G,'Raw Data'!AK:AK),"")</f>
        <v>100.00000000002274</v>
      </c>
      <c r="AA76" s="101">
        <f>IFERROR(_xlfn.XLOOKUP($A76,'Raw Data'!$G:$G,'Raw Data'!$AL:$AL)*(1+(_xlfn.XLOOKUP(Table13[[#This Row],[Month Year]],JMR!$A:$A,JMR!$J:$J))),"")</f>
        <v>24899.999999999978</v>
      </c>
      <c r="AB76" s="101">
        <f>IFERROR(_xlfn.XLOOKUP($A76,'Raw Data'!$G:$G,'Raw Data'!H:H),"")</f>
        <v>8.0208999999999993</v>
      </c>
      <c r="AC76" s="67">
        <f>IFERROR(_xlfn.XLOOKUP($D76,'Modelling New'!$D:$D,'Modelling New'!P:P),"")</f>
        <v>4.7600000000000007</v>
      </c>
      <c r="AD76" s="101">
        <f>IFERROR(_xlfn.XLOOKUP($D76,'Modelling New'!$D:$D,'Modelling New'!$T:$T)*1000,"")</f>
        <v>25919.748311299463</v>
      </c>
      <c r="AE76" s="109">
        <f>IFERROR(_xlfn.XLOOKUP($D76,'Modelling New'!$D:$D,'Modelling New'!O:O),"")</f>
        <v>0.67889205394445518</v>
      </c>
      <c r="AF76" s="108">
        <f>IFERROR(_xlfn.XLOOKUP($D76,'Modelling New'!$D:$D,'Modelling New'!W:W),"")</f>
        <v>0.13464692403231696</v>
      </c>
      <c r="AG76" s="108">
        <f>IFERROR(_xlfn.XLOOKUP($D76,'Modelling New'!$D:$D,'Modelling New'!AE:AE),"")</f>
        <v>0.98040000000000005</v>
      </c>
      <c r="AH76" s="128">
        <f>IFERROR(_xlfn.XLOOKUP($D76,'Modelling New'!$D:$D,'Modelling New'!AF:AF),"")</f>
        <v>0.98</v>
      </c>
      <c r="AN76" s="105"/>
      <c r="AO76" s="108"/>
      <c r="AP76" s="108"/>
      <c r="AQ76" s="108"/>
      <c r="AR76" s="101">
        <f>'Basic Data'!$B$98/1000</f>
        <v>8.0208999999999993</v>
      </c>
      <c r="AT76" s="7">
        <f>IFERROR(_xlfn.XLOOKUP(Table13[[#This Row],[Date]],'Raw Data'!$G:$G,'Raw Data'!$AN:$AN),"")</f>
        <v>0</v>
      </c>
      <c r="AU76" s="7">
        <f>IFERROR(_xlfn.XLOOKUP(Table13[[#This Row],[Month Year]],'Modelling New'!$D:$D,'Modelling New'!$AO:$AO),"")</f>
        <v>8</v>
      </c>
      <c r="AV76" s="7">
        <f>SUMIF('Curtailment Records'!$C:$C,Table13[[#This Row],[Date]],'Curtailment Records'!$R:$R)/1000</f>
        <v>0</v>
      </c>
    </row>
    <row r="77" spans="1:48" x14ac:dyDescent="0.3">
      <c r="A77" s="100">
        <f t="shared" si="7"/>
        <v>45820</v>
      </c>
      <c r="B77" s="101">
        <f>YEAR(Table13[[#This Row],[Date]])+IF(MONTH(Table13[[#This Row],[Date]])&gt;=4,1,0)</f>
        <v>2026</v>
      </c>
      <c r="C77" s="7">
        <f>YEAR(Table13[[#This Row],[Date]])</f>
        <v>2025</v>
      </c>
      <c r="D77" s="102">
        <f>Table13[[#This Row],[Date]]-DAY(Table13[[#This Row],[Date]])+1</f>
        <v>45809</v>
      </c>
      <c r="E77" s="7">
        <f t="shared" si="4"/>
        <v>30</v>
      </c>
      <c r="F77" s="103">
        <f>IFERROR(_xlfn.XLOOKUP($A77,'Raw Data'!$G:$G,'Raw Data'!$AM:$AM),"")</f>
        <v>12.633333333333333</v>
      </c>
      <c r="G77" s="104">
        <f>IFERROR(_xlfn.XLOOKUP($A77,'Raw Data'!$G:$G,'Raw Data'!$AB:$AB),"")</f>
        <v>0</v>
      </c>
      <c r="H77" s="104"/>
      <c r="I77" s="104">
        <f>IFERROR(_xlfn.XLOOKUP($A77,'Raw Data'!$G:$G,'Raw Data'!$AC:$AC),"")</f>
        <v>3.8</v>
      </c>
      <c r="J77" s="104"/>
      <c r="K77" s="104">
        <f>IFERROR(_xlfn.XLOOKUP($A77,'Raw Data'!$G:$G,'Raw Data'!AD:AD),"")</f>
        <v>0</v>
      </c>
      <c r="L77" s="104">
        <f>IFERROR(_xlfn.XLOOKUP($A77,'Raw Data'!$G:$G,'Raw Data'!AE:AE),"")</f>
        <v>36.04</v>
      </c>
      <c r="M77" s="104">
        <f>IFERROR(_xlfn.XLOOKUP($A77,'Raw Data'!$G:$G,'Raw Data'!AF:AF),"")</f>
        <v>0</v>
      </c>
      <c r="N77" s="104">
        <f>IFERROR(_xlfn.XLOOKUP($A77,'Raw Data'!$G:$G,'Raw Data'!AG:AG),"")</f>
        <v>0</v>
      </c>
      <c r="O77" s="105">
        <f>IFERROR(1-SUMIF('Plant BD'!$B:$B,$A77,'Plant BD'!$AM:$AM)/($AA77+SUMIF('Plant BD'!$B:$B,$A77,'Plant BD'!$AM:$AM)),"")</f>
        <v>1</v>
      </c>
      <c r="P77" s="105"/>
      <c r="Q77" s="106"/>
      <c r="R77" s="105">
        <f>IFERROR(1-SUMIF('Grid BD'!$B:$B,$A77,'Grid BD'!$AE:$AE)/($AA77+SUMIF('Grid BD'!$B:$B,$A77,'Grid BD'!$AE:$AE)),"")</f>
        <v>1</v>
      </c>
      <c r="T77" s="106"/>
      <c r="U77" s="107">
        <f t="shared" si="5"/>
        <v>0.83991099568158023</v>
      </c>
      <c r="V77" s="107"/>
      <c r="W77" s="108">
        <f t="shared" si="6"/>
        <v>0.13298590764958351</v>
      </c>
      <c r="X77" s="101">
        <f>IFERROR(_xlfn.XLOOKUP($A77,'Raw Data'!$G:$G,'Raw Data'!AI:AI),"")</f>
        <v>25924.200000000004</v>
      </c>
      <c r="Y77" s="101">
        <f>IFERROR(_xlfn.XLOOKUP($A77,'Raw Data'!$G:$G,'Raw Data'!AJ:AJ),"")</f>
        <v>25699.99999999709</v>
      </c>
      <c r="Z77" s="101">
        <f>IFERROR(_xlfn.XLOOKUP($A77,'Raw Data'!$G:$G,'Raw Data'!AK:AK),"")</f>
        <v>100.00000000002274</v>
      </c>
      <c r="AA77" s="101">
        <f>IFERROR(_xlfn.XLOOKUP($A77,'Raw Data'!$G:$G,'Raw Data'!$AL:$AL)*(1+(_xlfn.XLOOKUP(Table13[[#This Row],[Month Year]],JMR!$A:$A,JMR!$J:$J))),"")</f>
        <v>25599.999999997068</v>
      </c>
      <c r="AB77" s="101">
        <f>IFERROR(_xlfn.XLOOKUP($A77,'Raw Data'!$G:$G,'Raw Data'!H:H),"")</f>
        <v>8.0208999999999993</v>
      </c>
      <c r="AC77" s="67">
        <f>IFERROR(_xlfn.XLOOKUP($D77,'Modelling New'!$D:$D,'Modelling New'!P:P),"")</f>
        <v>4.7600000000000007</v>
      </c>
      <c r="AD77" s="101">
        <f>IFERROR(_xlfn.XLOOKUP($D77,'Modelling New'!$D:$D,'Modelling New'!$T:$T)*1000,"")</f>
        <v>25919.748311299463</v>
      </c>
      <c r="AE77" s="109">
        <f>IFERROR(_xlfn.XLOOKUP($D77,'Modelling New'!$D:$D,'Modelling New'!O:O),"")</f>
        <v>0.67889205394445518</v>
      </c>
      <c r="AF77" s="108">
        <f>IFERROR(_xlfn.XLOOKUP($D77,'Modelling New'!$D:$D,'Modelling New'!W:W),"")</f>
        <v>0.13464692403231696</v>
      </c>
      <c r="AG77" s="108">
        <f>IFERROR(_xlfn.XLOOKUP($D77,'Modelling New'!$D:$D,'Modelling New'!AE:AE),"")</f>
        <v>0.98040000000000005</v>
      </c>
      <c r="AH77" s="128">
        <f>IFERROR(_xlfn.XLOOKUP($D77,'Modelling New'!$D:$D,'Modelling New'!AF:AF),"")</f>
        <v>0.98</v>
      </c>
      <c r="AN77" s="105"/>
      <c r="AO77" s="108"/>
      <c r="AP77" s="108"/>
      <c r="AQ77" s="108"/>
      <c r="AR77" s="101">
        <f>'Basic Data'!$B$98/1000</f>
        <v>8.0208999999999993</v>
      </c>
      <c r="AT77" s="7">
        <f>IFERROR(_xlfn.XLOOKUP(Table13[[#This Row],[Date]],'Raw Data'!$G:$G,'Raw Data'!$AN:$AN),"")</f>
        <v>0</v>
      </c>
      <c r="AU77" s="7">
        <f>IFERROR(_xlfn.XLOOKUP(Table13[[#This Row],[Month Year]],'Modelling New'!$D:$D,'Modelling New'!$AO:$AO),"")</f>
        <v>8</v>
      </c>
      <c r="AV77" s="7">
        <f>SUMIF('Curtailment Records'!$C:$C,Table13[[#This Row],[Date]],'Curtailment Records'!$R:$R)/1000</f>
        <v>0</v>
      </c>
    </row>
    <row r="78" spans="1:48" x14ac:dyDescent="0.3">
      <c r="A78" s="100">
        <f t="shared" si="7"/>
        <v>45821</v>
      </c>
      <c r="B78" s="101">
        <f>YEAR(Table13[[#This Row],[Date]])+IF(MONTH(Table13[[#This Row],[Date]])&gt;=4,1,0)</f>
        <v>2026</v>
      </c>
      <c r="C78" s="7">
        <f>YEAR(Table13[[#This Row],[Date]])</f>
        <v>2025</v>
      </c>
      <c r="D78" s="102">
        <f>Table13[[#This Row],[Date]]-DAY(Table13[[#This Row],[Date]])+1</f>
        <v>45809</v>
      </c>
      <c r="E78" s="7">
        <f t="shared" si="4"/>
        <v>30</v>
      </c>
      <c r="F78" s="103">
        <f>IFERROR(_xlfn.XLOOKUP($A78,'Raw Data'!$G:$G,'Raw Data'!$AM:$AM),"")</f>
        <v>12.683333333333334</v>
      </c>
      <c r="G78" s="104">
        <f>IFERROR(_xlfn.XLOOKUP($A78,'Raw Data'!$G:$G,'Raw Data'!$AB:$AB),"")</f>
        <v>0</v>
      </c>
      <c r="H78" s="104"/>
      <c r="I78" s="104">
        <f>IFERROR(_xlfn.XLOOKUP($A78,'Raw Data'!$G:$G,'Raw Data'!$AC:$AC),"")</f>
        <v>4.26</v>
      </c>
      <c r="J78" s="104"/>
      <c r="K78" s="104">
        <f>IFERROR(_xlfn.XLOOKUP($A78,'Raw Data'!$G:$G,'Raw Data'!AD:AD),"")</f>
        <v>0</v>
      </c>
      <c r="L78" s="104">
        <f>IFERROR(_xlfn.XLOOKUP($A78,'Raw Data'!$G:$G,'Raw Data'!AE:AE),"")</f>
        <v>38.42</v>
      </c>
      <c r="M78" s="104">
        <f>IFERROR(_xlfn.XLOOKUP($A78,'Raw Data'!$G:$G,'Raw Data'!AF:AF),"")</f>
        <v>0</v>
      </c>
      <c r="N78" s="104">
        <f>IFERROR(_xlfn.XLOOKUP($A78,'Raw Data'!$G:$G,'Raw Data'!AG:AG),"")</f>
        <v>0</v>
      </c>
      <c r="O78" s="105">
        <f>IFERROR(1-SUMIF('Plant BD'!$B:$B,$A78,'Plant BD'!$AM:$AM)/($AA78+SUMIF('Plant BD'!$B:$B,$A78,'Plant BD'!$AM:$AM)),"")</f>
        <v>1</v>
      </c>
      <c r="P78" s="105"/>
      <c r="Q78" s="106"/>
      <c r="R78" s="105">
        <f>IFERROR(1-SUMIF('Grid BD'!$B:$B,$A78,'Grid BD'!$AE:$AE)/($AA78+SUMIF('Grid BD'!$B:$B,$A78,'Grid BD'!$AE:$AE)),"")</f>
        <v>1</v>
      </c>
      <c r="T78" s="106"/>
      <c r="U78" s="107">
        <f t="shared" si="5"/>
        <v>0.80482228441125536</v>
      </c>
      <c r="V78" s="107"/>
      <c r="W78" s="108">
        <f t="shared" si="6"/>
        <v>0.14285595548299782</v>
      </c>
      <c r="X78" s="101">
        <f>IFERROR(_xlfn.XLOOKUP($A78,'Raw Data'!$G:$G,'Raw Data'!AI:AI),"")</f>
        <v>27856.600000000002</v>
      </c>
      <c r="Y78" s="101">
        <f>IFERROR(_xlfn.XLOOKUP($A78,'Raw Data'!$G:$G,'Raw Data'!AJ:AJ),"")</f>
        <v>27600.000000005821</v>
      </c>
      <c r="Z78" s="101">
        <f>IFERROR(_xlfn.XLOOKUP($A78,'Raw Data'!$G:$G,'Raw Data'!AK:AK),"")</f>
        <v>99.999999999965894</v>
      </c>
      <c r="AA78" s="101">
        <f>IFERROR(_xlfn.XLOOKUP($A78,'Raw Data'!$G:$G,'Raw Data'!$AL:$AL)*(1+(_xlfn.XLOOKUP(Table13[[#This Row],[Month Year]],JMR!$A:$A,JMR!$J:$J))),"")</f>
        <v>27500.000000005854</v>
      </c>
      <c r="AB78" s="101">
        <f>IFERROR(_xlfn.XLOOKUP($A78,'Raw Data'!$G:$G,'Raw Data'!H:H),"")</f>
        <v>8.0208999999999993</v>
      </c>
      <c r="AC78" s="67">
        <f>IFERROR(_xlfn.XLOOKUP($D78,'Modelling New'!$D:$D,'Modelling New'!P:P),"")</f>
        <v>4.7600000000000007</v>
      </c>
      <c r="AD78" s="101">
        <f>IFERROR(_xlfn.XLOOKUP($D78,'Modelling New'!$D:$D,'Modelling New'!$T:$T)*1000,"")</f>
        <v>25919.748311299463</v>
      </c>
      <c r="AE78" s="109">
        <f>IFERROR(_xlfn.XLOOKUP($D78,'Modelling New'!$D:$D,'Modelling New'!O:O),"")</f>
        <v>0.67889205394445518</v>
      </c>
      <c r="AF78" s="108">
        <f>IFERROR(_xlfn.XLOOKUP($D78,'Modelling New'!$D:$D,'Modelling New'!W:W),"")</f>
        <v>0.13464692403231696</v>
      </c>
      <c r="AG78" s="108">
        <f>IFERROR(_xlfn.XLOOKUP($D78,'Modelling New'!$D:$D,'Modelling New'!AE:AE),"")</f>
        <v>0.98040000000000005</v>
      </c>
      <c r="AH78" s="128">
        <f>IFERROR(_xlfn.XLOOKUP($D78,'Modelling New'!$D:$D,'Modelling New'!AF:AF),"")</f>
        <v>0.98</v>
      </c>
      <c r="AN78" s="105"/>
      <c r="AO78" s="108"/>
      <c r="AP78" s="108"/>
      <c r="AQ78" s="108"/>
      <c r="AR78" s="101">
        <f>'Basic Data'!$B$98/1000</f>
        <v>8.0208999999999993</v>
      </c>
      <c r="AT78" s="7">
        <f>IFERROR(_xlfn.XLOOKUP(Table13[[#This Row],[Date]],'Raw Data'!$G:$G,'Raw Data'!$AN:$AN),"")</f>
        <v>0</v>
      </c>
      <c r="AU78" s="7">
        <f>IFERROR(_xlfn.XLOOKUP(Table13[[#This Row],[Month Year]],'Modelling New'!$D:$D,'Modelling New'!$AO:$AO),"")</f>
        <v>8</v>
      </c>
      <c r="AV78" s="7">
        <f>SUMIF('Curtailment Records'!$C:$C,Table13[[#This Row],[Date]],'Curtailment Records'!$R:$R)/1000</f>
        <v>0</v>
      </c>
    </row>
    <row r="79" spans="1:48" x14ac:dyDescent="0.3">
      <c r="A79" s="100">
        <f t="shared" si="7"/>
        <v>45822</v>
      </c>
      <c r="B79" s="101">
        <f>YEAR(Table13[[#This Row],[Date]])+IF(MONTH(Table13[[#This Row],[Date]])&gt;=4,1,0)</f>
        <v>2026</v>
      </c>
      <c r="C79" s="7">
        <f>YEAR(Table13[[#This Row],[Date]])</f>
        <v>2025</v>
      </c>
      <c r="D79" s="102">
        <f>Table13[[#This Row],[Date]]-DAY(Table13[[#This Row],[Date]])+1</f>
        <v>45809</v>
      </c>
      <c r="E79" s="7">
        <f t="shared" si="4"/>
        <v>30</v>
      </c>
      <c r="F79" s="103">
        <f>IFERROR(_xlfn.XLOOKUP($A79,'Raw Data'!$G:$G,'Raw Data'!$AM:$AM),"")</f>
        <v>12.883333333333333</v>
      </c>
      <c r="G79" s="104">
        <f>IFERROR(_xlfn.XLOOKUP($A79,'Raw Data'!$G:$G,'Raw Data'!$AB:$AB),"")</f>
        <v>0</v>
      </c>
      <c r="H79" s="104"/>
      <c r="I79" s="104">
        <f>IFERROR(_xlfn.XLOOKUP($A79,'Raw Data'!$G:$G,'Raw Data'!$AC:$AC),"")</f>
        <v>3.77</v>
      </c>
      <c r="J79" s="104"/>
      <c r="K79" s="104">
        <f>IFERROR(_xlfn.XLOOKUP($A79,'Raw Data'!$G:$G,'Raw Data'!AD:AD),"")</f>
        <v>0</v>
      </c>
      <c r="L79" s="104">
        <f>IFERROR(_xlfn.XLOOKUP($A79,'Raw Data'!$G:$G,'Raw Data'!AE:AE),"")</f>
        <v>35.770000000000003</v>
      </c>
      <c r="M79" s="104">
        <f>IFERROR(_xlfn.XLOOKUP($A79,'Raw Data'!$G:$G,'Raw Data'!AF:AF),"")</f>
        <v>0</v>
      </c>
      <c r="N79" s="104">
        <f>IFERROR(_xlfn.XLOOKUP($A79,'Raw Data'!$G:$G,'Raw Data'!AG:AG),"")</f>
        <v>0</v>
      </c>
      <c r="O79" s="105">
        <f>IFERROR(1-SUMIF('Plant BD'!$B:$B,$A79,'Plant BD'!$AM:$AM)/($AA79+SUMIF('Plant BD'!$B:$B,$A79,'Plant BD'!$AM:$AM)),"")</f>
        <v>1</v>
      </c>
      <c r="P79" s="105"/>
      <c r="Q79" s="106"/>
      <c r="R79" s="105">
        <f>IFERROR(1-SUMIF('Grid BD'!$B:$B,$A79,'Grid BD'!$AE:$AE)/($AA79+SUMIF('Grid BD'!$B:$B,$A79,'Grid BD'!$AE:$AE)),"")</f>
        <v>0.77838891960323808</v>
      </c>
      <c r="T79" s="106"/>
      <c r="U79" s="107">
        <f t="shared" si="5"/>
        <v>0.65148102968224753</v>
      </c>
      <c r="V79" s="107"/>
      <c r="W79" s="108">
        <f t="shared" si="6"/>
        <v>0.1023368117459197</v>
      </c>
      <c r="X79" s="101">
        <f>IFERROR(_xlfn.XLOOKUP($A79,'Raw Data'!$G:$G,'Raw Data'!AI:AI),"")</f>
        <v>20006</v>
      </c>
      <c r="Y79" s="101">
        <f>IFERROR(_xlfn.XLOOKUP($A79,'Raw Data'!$G:$G,'Raw Data'!AJ:AJ),"")</f>
        <v>19799.999999988358</v>
      </c>
      <c r="Z79" s="101">
        <f>IFERROR(_xlfn.XLOOKUP($A79,'Raw Data'!$G:$G,'Raw Data'!AK:AK),"")</f>
        <v>100.00000000002274</v>
      </c>
      <c r="AA79" s="101">
        <f>IFERROR(_xlfn.XLOOKUP($A79,'Raw Data'!$G:$G,'Raw Data'!$AL:$AL)*(1+(_xlfn.XLOOKUP(Table13[[#This Row],[Month Year]],JMR!$A:$A,JMR!$J:$J))),"")</f>
        <v>19699.999999988337</v>
      </c>
      <c r="AB79" s="101">
        <f>IFERROR(_xlfn.XLOOKUP($A79,'Raw Data'!$G:$G,'Raw Data'!H:H),"")</f>
        <v>8.0208999999999993</v>
      </c>
      <c r="AC79" s="67">
        <f>IFERROR(_xlfn.XLOOKUP($D79,'Modelling New'!$D:$D,'Modelling New'!P:P),"")</f>
        <v>4.7600000000000007</v>
      </c>
      <c r="AD79" s="101">
        <f>IFERROR(_xlfn.XLOOKUP($D79,'Modelling New'!$D:$D,'Modelling New'!$T:$T)*1000,"")</f>
        <v>25919.748311299463</v>
      </c>
      <c r="AE79" s="109">
        <f>IFERROR(_xlfn.XLOOKUP($D79,'Modelling New'!$D:$D,'Modelling New'!O:O),"")</f>
        <v>0.67889205394445518</v>
      </c>
      <c r="AF79" s="108">
        <f>IFERROR(_xlfn.XLOOKUP($D79,'Modelling New'!$D:$D,'Modelling New'!W:W),"")</f>
        <v>0.13464692403231696</v>
      </c>
      <c r="AG79" s="108">
        <f>IFERROR(_xlfn.XLOOKUP($D79,'Modelling New'!$D:$D,'Modelling New'!AE:AE),"")</f>
        <v>0.98040000000000005</v>
      </c>
      <c r="AH79" s="128">
        <f>IFERROR(_xlfn.XLOOKUP($D79,'Modelling New'!$D:$D,'Modelling New'!AF:AF),"")</f>
        <v>0.98</v>
      </c>
      <c r="AN79" s="105"/>
      <c r="AO79" s="108"/>
      <c r="AP79" s="108"/>
      <c r="AQ79" s="108"/>
      <c r="AR79" s="101">
        <f>'Basic Data'!$B$98/1000</f>
        <v>8.0208999999999993</v>
      </c>
      <c r="AT79" s="7">
        <f>IFERROR(_xlfn.XLOOKUP(Table13[[#This Row],[Date]],'Raw Data'!$G:$G,'Raw Data'!$AN:$AN),"")</f>
        <v>0</v>
      </c>
      <c r="AU79" s="7">
        <f>IFERROR(_xlfn.XLOOKUP(Table13[[#This Row],[Month Year]],'Modelling New'!$D:$D,'Modelling New'!$AO:$AO),"")</f>
        <v>8</v>
      </c>
      <c r="AV79" s="7">
        <f>SUMIF('Curtailment Records'!$C:$C,Table13[[#This Row],[Date]],'Curtailment Records'!$R:$R)/1000</f>
        <v>0</v>
      </c>
    </row>
    <row r="80" spans="1:48" x14ac:dyDescent="0.3">
      <c r="A80" s="100">
        <f t="shared" si="7"/>
        <v>45823</v>
      </c>
      <c r="B80" s="101">
        <f>YEAR(Table13[[#This Row],[Date]])+IF(MONTH(Table13[[#This Row],[Date]])&gt;=4,1,0)</f>
        <v>2026</v>
      </c>
      <c r="C80" s="7">
        <f>YEAR(Table13[[#This Row],[Date]])</f>
        <v>2025</v>
      </c>
      <c r="D80" s="102">
        <f>Table13[[#This Row],[Date]]-DAY(Table13[[#This Row],[Date]])+1</f>
        <v>45809</v>
      </c>
      <c r="E80" s="7">
        <f t="shared" si="4"/>
        <v>30</v>
      </c>
      <c r="F80" s="103">
        <f>IFERROR(_xlfn.XLOOKUP($A80,'Raw Data'!$G:$G,'Raw Data'!$AM:$AM),"")</f>
        <v>12.666666666666668</v>
      </c>
      <c r="G80" s="104">
        <f>IFERROR(_xlfn.XLOOKUP($A80,'Raw Data'!$G:$G,'Raw Data'!$AB:$AB),"")</f>
        <v>0</v>
      </c>
      <c r="H80" s="104"/>
      <c r="I80" s="104">
        <f>IFERROR(_xlfn.XLOOKUP($A80,'Raw Data'!$G:$G,'Raw Data'!$AC:$AC),"")</f>
        <v>3.78</v>
      </c>
      <c r="J80" s="104"/>
      <c r="K80" s="104">
        <f>IFERROR(_xlfn.XLOOKUP($A80,'Raw Data'!$G:$G,'Raw Data'!AD:AD),"")</f>
        <v>0</v>
      </c>
      <c r="L80" s="104">
        <f>IFERROR(_xlfn.XLOOKUP($A80,'Raw Data'!$G:$G,'Raw Data'!AE:AE),"")</f>
        <v>33.58</v>
      </c>
      <c r="M80" s="104">
        <f>IFERROR(_xlfn.XLOOKUP($A80,'Raw Data'!$G:$G,'Raw Data'!AF:AF),"")</f>
        <v>0</v>
      </c>
      <c r="N80" s="104">
        <f>IFERROR(_xlfn.XLOOKUP($A80,'Raw Data'!$G:$G,'Raw Data'!AG:AG),"")</f>
        <v>0</v>
      </c>
      <c r="O80" s="105">
        <f>IFERROR(1-SUMIF('Plant BD'!$B:$B,$A80,'Plant BD'!$AM:$AM)/($AA80+SUMIF('Plant BD'!$B:$B,$A80,'Plant BD'!$AM:$AM)),"")</f>
        <v>1</v>
      </c>
      <c r="P80" s="105"/>
      <c r="Q80" s="106"/>
      <c r="R80" s="105">
        <f>IFERROR(1-SUMIF('Grid BD'!$B:$B,$A80,'Grid BD'!$AE:$AE)/($AA80+SUMIF('Grid BD'!$B:$B,$A80,'Grid BD'!$AE:$AE)),"")</f>
        <v>1</v>
      </c>
      <c r="T80" s="106"/>
      <c r="U80" s="107">
        <f t="shared" si="5"/>
        <v>0.84270583840486457</v>
      </c>
      <c r="V80" s="107"/>
      <c r="W80" s="108">
        <f t="shared" si="6"/>
        <v>0.13272616954876615</v>
      </c>
      <c r="X80" s="101">
        <f>IFERROR(_xlfn.XLOOKUP($A80,'Raw Data'!$G:$G,'Raw Data'!AI:AI),"")</f>
        <v>25897.199999999997</v>
      </c>
      <c r="Y80" s="101">
        <f>IFERROR(_xlfn.XLOOKUP($A80,'Raw Data'!$G:$G,'Raw Data'!AJ:AJ),"")</f>
        <v>25650.000000008731</v>
      </c>
      <c r="Z80" s="101">
        <f>IFERROR(_xlfn.XLOOKUP($A80,'Raw Data'!$G:$G,'Raw Data'!AK:AK),"")</f>
        <v>99.999999999965894</v>
      </c>
      <c r="AA80" s="101">
        <f>IFERROR(_xlfn.XLOOKUP($A80,'Raw Data'!$G:$G,'Raw Data'!$AL:$AL)*(1+(_xlfn.XLOOKUP(Table13[[#This Row],[Month Year]],JMR!$A:$A,JMR!$J:$J))),"")</f>
        <v>25550.000000008764</v>
      </c>
      <c r="AB80" s="101">
        <f>IFERROR(_xlfn.XLOOKUP($A80,'Raw Data'!$G:$G,'Raw Data'!H:H),"")</f>
        <v>8.0208999999999993</v>
      </c>
      <c r="AC80" s="67">
        <f>IFERROR(_xlfn.XLOOKUP($D80,'Modelling New'!$D:$D,'Modelling New'!P:P),"")</f>
        <v>4.7600000000000007</v>
      </c>
      <c r="AD80" s="101">
        <f>IFERROR(_xlfn.XLOOKUP($D80,'Modelling New'!$D:$D,'Modelling New'!$T:$T)*1000,"")</f>
        <v>25919.748311299463</v>
      </c>
      <c r="AE80" s="109">
        <f>IFERROR(_xlfn.XLOOKUP($D80,'Modelling New'!$D:$D,'Modelling New'!O:O),"")</f>
        <v>0.67889205394445518</v>
      </c>
      <c r="AF80" s="108">
        <f>IFERROR(_xlfn.XLOOKUP($D80,'Modelling New'!$D:$D,'Modelling New'!W:W),"")</f>
        <v>0.13464692403231696</v>
      </c>
      <c r="AG80" s="108">
        <f>IFERROR(_xlfn.XLOOKUP($D80,'Modelling New'!$D:$D,'Modelling New'!AE:AE),"")</f>
        <v>0.98040000000000005</v>
      </c>
      <c r="AH80" s="128">
        <f>IFERROR(_xlfn.XLOOKUP($D80,'Modelling New'!$D:$D,'Modelling New'!AF:AF),"")</f>
        <v>0.98</v>
      </c>
      <c r="AN80" s="105"/>
      <c r="AO80" s="108"/>
      <c r="AP80" s="108"/>
      <c r="AQ80" s="108"/>
      <c r="AR80" s="101">
        <f>'Basic Data'!$B$98/1000</f>
        <v>8.0208999999999993</v>
      </c>
      <c r="AT80" s="7">
        <f>IFERROR(_xlfn.XLOOKUP(Table13[[#This Row],[Date]],'Raw Data'!$G:$G,'Raw Data'!$AN:$AN),"")</f>
        <v>0</v>
      </c>
      <c r="AU80" s="7">
        <f>IFERROR(_xlfn.XLOOKUP(Table13[[#This Row],[Month Year]],'Modelling New'!$D:$D,'Modelling New'!$AO:$AO),"")</f>
        <v>8</v>
      </c>
      <c r="AV80" s="7">
        <f>SUMIF('Curtailment Records'!$C:$C,Table13[[#This Row],[Date]],'Curtailment Records'!$R:$R)/1000</f>
        <v>0</v>
      </c>
    </row>
    <row r="81" spans="1:48" x14ac:dyDescent="0.3">
      <c r="A81" s="100">
        <f t="shared" si="7"/>
        <v>45824</v>
      </c>
      <c r="B81" s="101">
        <f>YEAR(Table13[[#This Row],[Date]])+IF(MONTH(Table13[[#This Row],[Date]])&gt;=4,1,0)</f>
        <v>2026</v>
      </c>
      <c r="C81" s="7">
        <f>YEAR(Table13[[#This Row],[Date]])</f>
        <v>2025</v>
      </c>
      <c r="D81" s="102">
        <f>Table13[[#This Row],[Date]]-DAY(Table13[[#This Row],[Date]])+1</f>
        <v>45809</v>
      </c>
      <c r="E81" s="7">
        <f t="shared" si="4"/>
        <v>30</v>
      </c>
      <c r="F81" s="103">
        <f>IFERROR(_xlfn.XLOOKUP($A81,'Raw Data'!$G:$G,'Raw Data'!$AM:$AM),"")</f>
        <v>12.933333333333334</v>
      </c>
      <c r="G81" s="104">
        <f>IFERROR(_xlfn.XLOOKUP($A81,'Raw Data'!$G:$G,'Raw Data'!$AB:$AB),"")</f>
        <v>0</v>
      </c>
      <c r="H81" s="104"/>
      <c r="I81" s="104">
        <f>IFERROR(_xlfn.XLOOKUP($A81,'Raw Data'!$G:$G,'Raw Data'!$AC:$AC),"")</f>
        <v>3.67</v>
      </c>
      <c r="J81" s="104"/>
      <c r="K81" s="104">
        <f>IFERROR(_xlfn.XLOOKUP($A81,'Raw Data'!$G:$G,'Raw Data'!AD:AD),"")</f>
        <v>0</v>
      </c>
      <c r="L81" s="104">
        <f>IFERROR(_xlfn.XLOOKUP($A81,'Raw Data'!$G:$G,'Raw Data'!AE:AE),"")</f>
        <v>32.799999999999997</v>
      </c>
      <c r="M81" s="104">
        <f>IFERROR(_xlfn.XLOOKUP($A81,'Raw Data'!$G:$G,'Raw Data'!AF:AF),"")</f>
        <v>0</v>
      </c>
      <c r="N81" s="104">
        <f>IFERROR(_xlfn.XLOOKUP($A81,'Raw Data'!$G:$G,'Raw Data'!AG:AG),"")</f>
        <v>0</v>
      </c>
      <c r="O81" s="105">
        <f>IFERROR(1-SUMIF('Plant BD'!$B:$B,$A81,'Plant BD'!$AM:$AM)/($AA81+SUMIF('Plant BD'!$B:$B,$A81,'Plant BD'!$AM:$AM)),"")</f>
        <v>1</v>
      </c>
      <c r="P81" s="105"/>
      <c r="Q81" s="106"/>
      <c r="R81" s="105">
        <f>IFERROR(1-SUMIF('Grid BD'!$B:$B,$A81,'Grid BD'!$AE:$AE)/($AA81+SUMIF('Grid BD'!$B:$B,$A81,'Grid BD'!$AE:$AE)),"")</f>
        <v>1</v>
      </c>
      <c r="T81" s="106"/>
      <c r="U81" s="107">
        <f t="shared" si="5"/>
        <v>0.83059573621417082</v>
      </c>
      <c r="V81" s="107"/>
      <c r="W81" s="108">
        <f t="shared" si="6"/>
        <v>0.12701193132941693</v>
      </c>
      <c r="X81" s="101">
        <f>IFERROR(_xlfn.XLOOKUP($A81,'Raw Data'!$G:$G,'Raw Data'!AI:AI),"")</f>
        <v>24766.199999999997</v>
      </c>
      <c r="Y81" s="101">
        <f>IFERROR(_xlfn.XLOOKUP($A81,'Raw Data'!$G:$G,'Raw Data'!AJ:AJ),"")</f>
        <v>24550.00000000291</v>
      </c>
      <c r="Z81" s="101">
        <f>IFERROR(_xlfn.XLOOKUP($A81,'Raw Data'!$G:$G,'Raw Data'!AK:AK),"")</f>
        <v>100.00000000002274</v>
      </c>
      <c r="AA81" s="101">
        <f>IFERROR(_xlfn.XLOOKUP($A81,'Raw Data'!$G:$G,'Raw Data'!$AL:$AL)*(1+(_xlfn.XLOOKUP(Table13[[#This Row],[Month Year]],JMR!$A:$A,JMR!$J:$J))),"")</f>
        <v>24450.000000002889</v>
      </c>
      <c r="AB81" s="101">
        <f>IFERROR(_xlfn.XLOOKUP($A81,'Raw Data'!$G:$G,'Raw Data'!H:H),"")</f>
        <v>8.0208999999999993</v>
      </c>
      <c r="AC81" s="67">
        <f>IFERROR(_xlfn.XLOOKUP($D81,'Modelling New'!$D:$D,'Modelling New'!P:P),"")</f>
        <v>4.7600000000000007</v>
      </c>
      <c r="AD81" s="101">
        <f>IFERROR(_xlfn.XLOOKUP($D81,'Modelling New'!$D:$D,'Modelling New'!$T:$T)*1000,"")</f>
        <v>25919.748311299463</v>
      </c>
      <c r="AE81" s="109">
        <f>IFERROR(_xlfn.XLOOKUP($D81,'Modelling New'!$D:$D,'Modelling New'!O:O),"")</f>
        <v>0.67889205394445518</v>
      </c>
      <c r="AF81" s="108">
        <f>IFERROR(_xlfn.XLOOKUP($D81,'Modelling New'!$D:$D,'Modelling New'!W:W),"")</f>
        <v>0.13464692403231696</v>
      </c>
      <c r="AG81" s="108">
        <f>IFERROR(_xlfn.XLOOKUP($D81,'Modelling New'!$D:$D,'Modelling New'!AE:AE),"")</f>
        <v>0.98040000000000005</v>
      </c>
      <c r="AH81" s="128">
        <f>IFERROR(_xlfn.XLOOKUP($D81,'Modelling New'!$D:$D,'Modelling New'!AF:AF),"")</f>
        <v>0.98</v>
      </c>
      <c r="AN81" s="105"/>
      <c r="AO81" s="108"/>
      <c r="AP81" s="108"/>
      <c r="AQ81" s="108"/>
      <c r="AR81" s="101">
        <f>'Basic Data'!$B$98/1000</f>
        <v>8.0208999999999993</v>
      </c>
      <c r="AT81" s="7">
        <f>IFERROR(_xlfn.XLOOKUP(Table13[[#This Row],[Date]],'Raw Data'!$G:$G,'Raw Data'!$AN:$AN),"")</f>
        <v>0</v>
      </c>
      <c r="AU81" s="7">
        <f>IFERROR(_xlfn.XLOOKUP(Table13[[#This Row],[Month Year]],'Modelling New'!$D:$D,'Modelling New'!$AO:$AO),"")</f>
        <v>8</v>
      </c>
      <c r="AV81" s="7">
        <f>SUMIF('Curtailment Records'!$C:$C,Table13[[#This Row],[Date]],'Curtailment Records'!$R:$R)/1000</f>
        <v>0</v>
      </c>
    </row>
    <row r="82" spans="1:48" x14ac:dyDescent="0.3">
      <c r="A82" s="100">
        <f t="shared" si="7"/>
        <v>45825</v>
      </c>
      <c r="B82" s="101">
        <f>YEAR(Table13[[#This Row],[Date]])+IF(MONTH(Table13[[#This Row],[Date]])&gt;=4,1,0)</f>
        <v>2026</v>
      </c>
      <c r="C82" s="7">
        <f>YEAR(Table13[[#This Row],[Date]])</f>
        <v>2025</v>
      </c>
      <c r="D82" s="102">
        <f>Table13[[#This Row],[Date]]-DAY(Table13[[#This Row],[Date]])+1</f>
        <v>45809</v>
      </c>
      <c r="E82" s="7">
        <f t="shared" si="4"/>
        <v>30</v>
      </c>
      <c r="F82" s="103">
        <f>IFERROR(_xlfn.XLOOKUP($A82,'Raw Data'!$G:$G,'Raw Data'!$AM:$AM),"")</f>
        <v>12.716666666666667</v>
      </c>
      <c r="G82" s="104">
        <f>IFERROR(_xlfn.XLOOKUP($A82,'Raw Data'!$G:$G,'Raw Data'!$AB:$AB),"")</f>
        <v>0</v>
      </c>
      <c r="H82" s="104"/>
      <c r="I82" s="104">
        <f>IFERROR(_xlfn.XLOOKUP($A82,'Raw Data'!$G:$G,'Raw Data'!$AC:$AC),"")</f>
        <v>5.07</v>
      </c>
      <c r="J82" s="104"/>
      <c r="K82" s="104">
        <f>IFERROR(_xlfn.XLOOKUP($A82,'Raw Data'!$G:$G,'Raw Data'!AD:AD),"")</f>
        <v>0</v>
      </c>
      <c r="L82" s="104">
        <f>IFERROR(_xlfn.XLOOKUP($A82,'Raw Data'!$G:$G,'Raw Data'!AE:AE),"")</f>
        <v>36.869999999999997</v>
      </c>
      <c r="M82" s="104">
        <f>IFERROR(_xlfn.XLOOKUP($A82,'Raw Data'!$G:$G,'Raw Data'!AF:AF),"")</f>
        <v>0</v>
      </c>
      <c r="N82" s="104">
        <f>IFERROR(_xlfn.XLOOKUP($A82,'Raw Data'!$G:$G,'Raw Data'!AG:AG),"")</f>
        <v>0</v>
      </c>
      <c r="O82" s="105">
        <f>IFERROR(1-SUMIF('Plant BD'!$B:$B,$A82,'Plant BD'!$AM:$AM)/($AA82+SUMIF('Plant BD'!$B:$B,$A82,'Plant BD'!$AM:$AM)),"")</f>
        <v>1</v>
      </c>
      <c r="P82" s="105"/>
      <c r="Q82" s="106"/>
      <c r="R82" s="105">
        <f>IFERROR(1-SUMIF('Grid BD'!$B:$B,$A82,'Grid BD'!$AE:$AE)/($AA82+SUMIF('Grid BD'!$B:$B,$A82,'Grid BD'!$AE:$AE)),"")</f>
        <v>0.92564690085358614</v>
      </c>
      <c r="T82" s="106"/>
      <c r="U82" s="107">
        <f t="shared" si="5"/>
        <v>0.7168156819500372</v>
      </c>
      <c r="V82" s="107"/>
      <c r="W82" s="108">
        <f t="shared" si="6"/>
        <v>0.15142731281194535</v>
      </c>
      <c r="X82" s="101">
        <f>IFERROR(_xlfn.XLOOKUP($A82,'Raw Data'!$G:$G,'Raw Data'!AI:AI),"")</f>
        <v>29483</v>
      </c>
      <c r="Y82" s="101">
        <f>IFERROR(_xlfn.XLOOKUP($A82,'Raw Data'!$G:$G,'Raw Data'!AJ:AJ),"")</f>
        <v>29250</v>
      </c>
      <c r="Z82" s="101">
        <f>IFERROR(_xlfn.XLOOKUP($A82,'Raw Data'!$G:$G,'Raw Data'!AK:AK),"")</f>
        <v>100.00000000002274</v>
      </c>
      <c r="AA82" s="101">
        <f>IFERROR(_xlfn.XLOOKUP($A82,'Raw Data'!$G:$G,'Raw Data'!$AL:$AL)*(1+(_xlfn.XLOOKUP(Table13[[#This Row],[Month Year]],JMR!$A:$A,JMR!$J:$J))),"")</f>
        <v>29149.999999999978</v>
      </c>
      <c r="AB82" s="101">
        <f>IFERROR(_xlfn.XLOOKUP($A82,'Raw Data'!$G:$G,'Raw Data'!H:H),"")</f>
        <v>8.0208999999999993</v>
      </c>
      <c r="AC82" s="67">
        <f>IFERROR(_xlfn.XLOOKUP($D82,'Modelling New'!$D:$D,'Modelling New'!P:P),"")</f>
        <v>4.7600000000000007</v>
      </c>
      <c r="AD82" s="101">
        <f>IFERROR(_xlfn.XLOOKUP($D82,'Modelling New'!$D:$D,'Modelling New'!$T:$T)*1000,"")</f>
        <v>25919.748311299463</v>
      </c>
      <c r="AE82" s="109">
        <f>IFERROR(_xlfn.XLOOKUP($D82,'Modelling New'!$D:$D,'Modelling New'!O:O),"")</f>
        <v>0.67889205394445518</v>
      </c>
      <c r="AF82" s="108">
        <f>IFERROR(_xlfn.XLOOKUP($D82,'Modelling New'!$D:$D,'Modelling New'!W:W),"")</f>
        <v>0.13464692403231696</v>
      </c>
      <c r="AG82" s="108">
        <f>IFERROR(_xlfn.XLOOKUP($D82,'Modelling New'!$D:$D,'Modelling New'!AE:AE),"")</f>
        <v>0.98040000000000005</v>
      </c>
      <c r="AH82" s="128">
        <f>IFERROR(_xlfn.XLOOKUP($D82,'Modelling New'!$D:$D,'Modelling New'!AF:AF),"")</f>
        <v>0.98</v>
      </c>
      <c r="AN82" s="105"/>
      <c r="AO82" s="108"/>
      <c r="AP82" s="108"/>
      <c r="AQ82" s="108"/>
      <c r="AR82" s="101">
        <f>'Basic Data'!$B$98/1000</f>
        <v>8.0208999999999993</v>
      </c>
      <c r="AT82" s="7">
        <f>IFERROR(_xlfn.XLOOKUP(Table13[[#This Row],[Date]],'Raw Data'!$G:$G,'Raw Data'!$AN:$AN),"")</f>
        <v>0</v>
      </c>
      <c r="AU82" s="7">
        <f>IFERROR(_xlfn.XLOOKUP(Table13[[#This Row],[Month Year]],'Modelling New'!$D:$D,'Modelling New'!$AO:$AO),"")</f>
        <v>8</v>
      </c>
      <c r="AV82" s="7">
        <f>SUMIF('Curtailment Records'!$C:$C,Table13[[#This Row],[Date]],'Curtailment Records'!$R:$R)/1000</f>
        <v>0</v>
      </c>
    </row>
    <row r="83" spans="1:48" x14ac:dyDescent="0.3">
      <c r="A83" s="100">
        <f t="shared" si="7"/>
        <v>45826</v>
      </c>
      <c r="B83" s="101">
        <f>YEAR(Table13[[#This Row],[Date]])+IF(MONTH(Table13[[#This Row],[Date]])&gt;=4,1,0)</f>
        <v>2026</v>
      </c>
      <c r="C83" s="7">
        <f>YEAR(Table13[[#This Row],[Date]])</f>
        <v>2025</v>
      </c>
      <c r="D83" s="102">
        <f>Table13[[#This Row],[Date]]-DAY(Table13[[#This Row],[Date]])+1</f>
        <v>45809</v>
      </c>
      <c r="E83" s="7">
        <f t="shared" si="4"/>
        <v>30</v>
      </c>
      <c r="F83" s="103">
        <f>IFERROR(_xlfn.XLOOKUP($A83,'Raw Data'!$G:$G,'Raw Data'!$AM:$AM),"")</f>
        <v>12.85</v>
      </c>
      <c r="G83" s="104">
        <f>IFERROR(_xlfn.XLOOKUP($A83,'Raw Data'!$G:$G,'Raw Data'!$AB:$AB),"")</f>
        <v>0</v>
      </c>
      <c r="H83" s="104"/>
      <c r="I83" s="104">
        <f>IFERROR(_xlfn.XLOOKUP($A83,'Raw Data'!$G:$G,'Raw Data'!$AC:$AC),"")</f>
        <v>4.9800000000000004</v>
      </c>
      <c r="J83" s="104"/>
      <c r="K83" s="104">
        <f>IFERROR(_xlfn.XLOOKUP($A83,'Raw Data'!$G:$G,'Raw Data'!AD:AD),"")</f>
        <v>0</v>
      </c>
      <c r="L83" s="104">
        <f>IFERROR(_xlfn.XLOOKUP($A83,'Raw Data'!$G:$G,'Raw Data'!AE:AE),"")</f>
        <v>36.69</v>
      </c>
      <c r="M83" s="104">
        <f>IFERROR(_xlfn.XLOOKUP($A83,'Raw Data'!$G:$G,'Raw Data'!AF:AF),"")</f>
        <v>0</v>
      </c>
      <c r="N83" s="104">
        <f>IFERROR(_xlfn.XLOOKUP($A83,'Raw Data'!$G:$G,'Raw Data'!AG:AG),"")</f>
        <v>0</v>
      </c>
      <c r="O83" s="105">
        <f>IFERROR(1-SUMIF('Plant BD'!$B:$B,$A83,'Plant BD'!$AM:$AM)/($AA83+SUMIF('Plant BD'!$B:$B,$A83,'Plant BD'!$AM:$AM)),"")</f>
        <v>1</v>
      </c>
      <c r="P83" s="105"/>
      <c r="Q83" s="106"/>
      <c r="R83" s="105">
        <f>IFERROR(1-SUMIF('Grid BD'!$B:$B,$A83,'Grid BD'!$AE:$AE)/($AA83+SUMIF('Grid BD'!$B:$B,$A83,'Grid BD'!$AE:$AE)),"")</f>
        <v>0.98017083945616201</v>
      </c>
      <c r="T83" s="106"/>
      <c r="U83" s="107">
        <f t="shared" si="5"/>
        <v>0.8086304249023476</v>
      </c>
      <c r="V83" s="107"/>
      <c r="W83" s="108">
        <f t="shared" si="6"/>
        <v>0.1677908131672371</v>
      </c>
      <c r="X83" s="101">
        <f>IFERROR(_xlfn.XLOOKUP($A83,'Raw Data'!$G:$G,'Raw Data'!AI:AI),"")</f>
        <v>32705.200000000001</v>
      </c>
      <c r="Y83" s="101">
        <f>IFERROR(_xlfn.XLOOKUP($A83,'Raw Data'!$G:$G,'Raw Data'!AJ:AJ),"")</f>
        <v>32399.999999994179</v>
      </c>
      <c r="Z83" s="101">
        <f>IFERROR(_xlfn.XLOOKUP($A83,'Raw Data'!$G:$G,'Raw Data'!AK:AK),"")</f>
        <v>99.999999999965894</v>
      </c>
      <c r="AA83" s="101">
        <f>IFERROR(_xlfn.XLOOKUP($A83,'Raw Data'!$G:$G,'Raw Data'!$AL:$AL)*(1+(_xlfn.XLOOKUP(Table13[[#This Row],[Month Year]],JMR!$A:$A,JMR!$J:$J))),"")</f>
        <v>32299.999999994212</v>
      </c>
      <c r="AB83" s="101">
        <f>IFERROR(_xlfn.XLOOKUP($A83,'Raw Data'!$G:$G,'Raw Data'!H:H),"")</f>
        <v>8.0208999999999993</v>
      </c>
      <c r="AC83" s="67">
        <f>IFERROR(_xlfn.XLOOKUP($D83,'Modelling New'!$D:$D,'Modelling New'!P:P),"")</f>
        <v>4.7600000000000007</v>
      </c>
      <c r="AD83" s="101">
        <f>IFERROR(_xlfn.XLOOKUP($D83,'Modelling New'!$D:$D,'Modelling New'!$T:$T)*1000,"")</f>
        <v>25919.748311299463</v>
      </c>
      <c r="AE83" s="109">
        <f>IFERROR(_xlfn.XLOOKUP($D83,'Modelling New'!$D:$D,'Modelling New'!O:O),"")</f>
        <v>0.67889205394445518</v>
      </c>
      <c r="AF83" s="108">
        <f>IFERROR(_xlfn.XLOOKUP($D83,'Modelling New'!$D:$D,'Modelling New'!W:W),"")</f>
        <v>0.13464692403231696</v>
      </c>
      <c r="AG83" s="108">
        <f>IFERROR(_xlfn.XLOOKUP($D83,'Modelling New'!$D:$D,'Modelling New'!AE:AE),"")</f>
        <v>0.98040000000000005</v>
      </c>
      <c r="AH83" s="128">
        <f>IFERROR(_xlfn.XLOOKUP($D83,'Modelling New'!$D:$D,'Modelling New'!AF:AF),"")</f>
        <v>0.98</v>
      </c>
      <c r="AN83" s="105"/>
      <c r="AO83" s="108"/>
      <c r="AP83" s="108"/>
      <c r="AQ83" s="108"/>
      <c r="AR83" s="101">
        <f>'Basic Data'!$B$98/1000</f>
        <v>8.0208999999999993</v>
      </c>
      <c r="AT83" s="7">
        <f>IFERROR(_xlfn.XLOOKUP(Table13[[#This Row],[Date]],'Raw Data'!$G:$G,'Raw Data'!$AN:$AN),"")</f>
        <v>0</v>
      </c>
      <c r="AU83" s="7">
        <f>IFERROR(_xlfn.XLOOKUP(Table13[[#This Row],[Month Year]],'Modelling New'!$D:$D,'Modelling New'!$AO:$AO),"")</f>
        <v>8</v>
      </c>
      <c r="AV83" s="7">
        <f>SUMIF('Curtailment Records'!$C:$C,Table13[[#This Row],[Date]],'Curtailment Records'!$R:$R)/1000</f>
        <v>0</v>
      </c>
    </row>
    <row r="84" spans="1:48" x14ac:dyDescent="0.3">
      <c r="A84" s="100">
        <f t="shared" si="7"/>
        <v>45827</v>
      </c>
      <c r="B84" s="101">
        <f>YEAR(Table13[[#This Row],[Date]])+IF(MONTH(Table13[[#This Row],[Date]])&gt;=4,1,0)</f>
        <v>2026</v>
      </c>
      <c r="C84" s="7">
        <f>YEAR(Table13[[#This Row],[Date]])</f>
        <v>2025</v>
      </c>
      <c r="D84" s="102">
        <f>Table13[[#This Row],[Date]]-DAY(Table13[[#This Row],[Date]])+1</f>
        <v>45809</v>
      </c>
      <c r="E84" s="7">
        <f t="shared" si="4"/>
        <v>30</v>
      </c>
      <c r="F84" s="103">
        <f>IFERROR(_xlfn.XLOOKUP($A84,'Raw Data'!$G:$G,'Raw Data'!$AM:$AM),"")</f>
        <v>12.833333333333332</v>
      </c>
      <c r="G84" s="104">
        <f>IFERROR(_xlfn.XLOOKUP($A84,'Raw Data'!$G:$G,'Raw Data'!$AB:$AB),"")</f>
        <v>0</v>
      </c>
      <c r="H84" s="104"/>
      <c r="I84" s="104">
        <f>IFERROR(_xlfn.XLOOKUP($A84,'Raw Data'!$G:$G,'Raw Data'!$AC:$AC),"")</f>
        <v>4.63</v>
      </c>
      <c r="J84" s="104"/>
      <c r="K84" s="104">
        <f>IFERROR(_xlfn.XLOOKUP($A84,'Raw Data'!$G:$G,'Raw Data'!AD:AD),"")</f>
        <v>0</v>
      </c>
      <c r="L84" s="104">
        <f>IFERROR(_xlfn.XLOOKUP($A84,'Raw Data'!$G:$G,'Raw Data'!AE:AE),"")</f>
        <v>35.83</v>
      </c>
      <c r="M84" s="104">
        <f>IFERROR(_xlfn.XLOOKUP($A84,'Raw Data'!$G:$G,'Raw Data'!AF:AF),"")</f>
        <v>0</v>
      </c>
      <c r="N84" s="104">
        <f>IFERROR(_xlfn.XLOOKUP($A84,'Raw Data'!$G:$G,'Raw Data'!AG:AG),"")</f>
        <v>0</v>
      </c>
      <c r="O84" s="105">
        <f>IFERROR(1-SUMIF('Plant BD'!$B:$B,$A84,'Plant BD'!$AM:$AM)/($AA84+SUMIF('Plant BD'!$B:$B,$A84,'Plant BD'!$AM:$AM)),"")</f>
        <v>1</v>
      </c>
      <c r="P84" s="105"/>
      <c r="Q84" s="106"/>
      <c r="R84" s="105">
        <f>IFERROR(1-SUMIF('Grid BD'!$B:$B,$A84,'Grid BD'!$AE:$AE)/($AA84+SUMIF('Grid BD'!$B:$B,$A84,'Grid BD'!$AE:$AE)),"")</f>
        <v>0.84533502721743736</v>
      </c>
      <c r="T84" s="106"/>
      <c r="U84" s="107">
        <f t="shared" si="5"/>
        <v>0.6731873024920505</v>
      </c>
      <c r="V84" s="107"/>
      <c r="W84" s="108">
        <f t="shared" si="6"/>
        <v>0.12986905043909142</v>
      </c>
      <c r="X84" s="101">
        <f>IFERROR(_xlfn.XLOOKUP($A84,'Raw Data'!$G:$G,'Raw Data'!AI:AI),"")</f>
        <v>25311.100000000002</v>
      </c>
      <c r="Y84" s="101">
        <f>IFERROR(_xlfn.XLOOKUP($A84,'Raw Data'!$G:$G,'Raw Data'!AJ:AJ),"")</f>
        <v>25100.000000005821</v>
      </c>
      <c r="Z84" s="101">
        <f>IFERROR(_xlfn.XLOOKUP($A84,'Raw Data'!$G:$G,'Raw Data'!AK:AK),"")</f>
        <v>100.00000000002274</v>
      </c>
      <c r="AA84" s="101">
        <f>IFERROR(_xlfn.XLOOKUP($A84,'Raw Data'!$G:$G,'Raw Data'!$AL:$AL)*(1+(_xlfn.XLOOKUP(Table13[[#This Row],[Month Year]],JMR!$A:$A,JMR!$J:$J))),"")</f>
        <v>25000.000000005799</v>
      </c>
      <c r="AB84" s="101">
        <f>IFERROR(_xlfn.XLOOKUP($A84,'Raw Data'!$G:$G,'Raw Data'!H:H),"")</f>
        <v>8.0208999999999993</v>
      </c>
      <c r="AC84" s="67">
        <f>IFERROR(_xlfn.XLOOKUP($D84,'Modelling New'!$D:$D,'Modelling New'!P:P),"")</f>
        <v>4.7600000000000007</v>
      </c>
      <c r="AD84" s="101">
        <f>IFERROR(_xlfn.XLOOKUP($D84,'Modelling New'!$D:$D,'Modelling New'!$T:$T)*1000,"")</f>
        <v>25919.748311299463</v>
      </c>
      <c r="AE84" s="109">
        <f>IFERROR(_xlfn.XLOOKUP($D84,'Modelling New'!$D:$D,'Modelling New'!O:O),"")</f>
        <v>0.67889205394445518</v>
      </c>
      <c r="AF84" s="108">
        <f>IFERROR(_xlfn.XLOOKUP($D84,'Modelling New'!$D:$D,'Modelling New'!W:W),"")</f>
        <v>0.13464692403231696</v>
      </c>
      <c r="AG84" s="108">
        <f>IFERROR(_xlfn.XLOOKUP($D84,'Modelling New'!$D:$D,'Modelling New'!AE:AE),"")</f>
        <v>0.98040000000000005</v>
      </c>
      <c r="AH84" s="128">
        <f>IFERROR(_xlfn.XLOOKUP($D84,'Modelling New'!$D:$D,'Modelling New'!AF:AF),"")</f>
        <v>0.98</v>
      </c>
      <c r="AN84" s="105"/>
      <c r="AO84" s="108"/>
      <c r="AP84" s="108"/>
      <c r="AQ84" s="108"/>
      <c r="AR84" s="101">
        <f>'Basic Data'!$B$98/1000</f>
        <v>8.0208999999999993</v>
      </c>
      <c r="AT84" s="7">
        <f>IFERROR(_xlfn.XLOOKUP(Table13[[#This Row],[Date]],'Raw Data'!$G:$G,'Raw Data'!$AN:$AN),"")</f>
        <v>0</v>
      </c>
      <c r="AU84" s="7">
        <f>IFERROR(_xlfn.XLOOKUP(Table13[[#This Row],[Month Year]],'Modelling New'!$D:$D,'Modelling New'!$AO:$AO),"")</f>
        <v>8</v>
      </c>
      <c r="AV84" s="7">
        <f>SUMIF('Curtailment Records'!$C:$C,Table13[[#This Row],[Date]],'Curtailment Records'!$R:$R)/1000</f>
        <v>0</v>
      </c>
    </row>
    <row r="85" spans="1:48" x14ac:dyDescent="0.3">
      <c r="A85" s="100">
        <f t="shared" si="7"/>
        <v>45828</v>
      </c>
      <c r="B85" s="101">
        <f>YEAR(Table13[[#This Row],[Date]])+IF(MONTH(Table13[[#This Row],[Date]])&gt;=4,1,0)</f>
        <v>2026</v>
      </c>
      <c r="C85" s="7">
        <f>YEAR(Table13[[#This Row],[Date]])</f>
        <v>2025</v>
      </c>
      <c r="D85" s="102">
        <f>Table13[[#This Row],[Date]]-DAY(Table13[[#This Row],[Date]])+1</f>
        <v>45809</v>
      </c>
      <c r="E85" s="7">
        <f t="shared" si="4"/>
        <v>30</v>
      </c>
      <c r="F85" s="103">
        <f>IFERROR(_xlfn.XLOOKUP($A85,'Raw Data'!$G:$G,'Raw Data'!$AM:$AM),"")</f>
        <v>12.816666666666666</v>
      </c>
      <c r="G85" s="104">
        <f>IFERROR(_xlfn.XLOOKUP($A85,'Raw Data'!$G:$G,'Raw Data'!$AB:$AB),"")</f>
        <v>0</v>
      </c>
      <c r="H85" s="104"/>
      <c r="I85" s="104">
        <f>IFERROR(_xlfn.XLOOKUP($A85,'Raw Data'!$G:$G,'Raw Data'!$AC:$AC),"")</f>
        <v>4.84</v>
      </c>
      <c r="J85" s="104"/>
      <c r="K85" s="104">
        <f>IFERROR(_xlfn.XLOOKUP($A85,'Raw Data'!$G:$G,'Raw Data'!AD:AD),"")</f>
        <v>0</v>
      </c>
      <c r="L85" s="104">
        <f>IFERROR(_xlfn.XLOOKUP($A85,'Raw Data'!$G:$G,'Raw Data'!AE:AE),"")</f>
        <v>36.57</v>
      </c>
      <c r="M85" s="104">
        <f>IFERROR(_xlfn.XLOOKUP($A85,'Raw Data'!$G:$G,'Raw Data'!AF:AF),"")</f>
        <v>0</v>
      </c>
      <c r="N85" s="104">
        <f>IFERROR(_xlfn.XLOOKUP($A85,'Raw Data'!$G:$G,'Raw Data'!AG:AG),"")</f>
        <v>0</v>
      </c>
      <c r="O85" s="105">
        <f>IFERROR(1-SUMIF('Plant BD'!$B:$B,$A85,'Plant BD'!$AM:$AM)/($AA85+SUMIF('Plant BD'!$B:$B,$A85,'Plant BD'!$AM:$AM)),"")</f>
        <v>1</v>
      </c>
      <c r="P85" s="105"/>
      <c r="Q85" s="106"/>
      <c r="R85" s="105">
        <f>IFERROR(1-SUMIF('Grid BD'!$B:$B,$A85,'Grid BD'!$AE:$AE)/($AA85+SUMIF('Grid BD'!$B:$B,$A85,'Grid BD'!$AE:$AE)),"")</f>
        <v>1</v>
      </c>
      <c r="T85" s="106"/>
      <c r="U85" s="107">
        <f t="shared" si="5"/>
        <v>0.80497345313445334</v>
      </c>
      <c r="V85" s="107"/>
      <c r="W85" s="108">
        <f t="shared" si="6"/>
        <v>0.16233631304878141</v>
      </c>
      <c r="X85" s="101">
        <f>IFERROR(_xlfn.XLOOKUP($A85,'Raw Data'!$G:$G,'Raw Data'!AI:AI),"")</f>
        <v>31630.9</v>
      </c>
      <c r="Y85" s="101">
        <f>IFERROR(_xlfn.XLOOKUP($A85,'Raw Data'!$G:$G,'Raw Data'!AJ:AJ),"")</f>
        <v>31349.999999991269</v>
      </c>
      <c r="Z85" s="101">
        <f>IFERROR(_xlfn.XLOOKUP($A85,'Raw Data'!$G:$G,'Raw Data'!AK:AK),"")</f>
        <v>99.999999999965894</v>
      </c>
      <c r="AA85" s="101">
        <f>IFERROR(_xlfn.XLOOKUP($A85,'Raw Data'!$G:$G,'Raw Data'!$AL:$AL)*(1+(_xlfn.XLOOKUP(Table13[[#This Row],[Month Year]],JMR!$A:$A,JMR!$J:$J))),"")</f>
        <v>31249.999999991302</v>
      </c>
      <c r="AB85" s="101">
        <f>IFERROR(_xlfn.XLOOKUP($A85,'Raw Data'!$G:$G,'Raw Data'!H:H),"")</f>
        <v>8.0208999999999993</v>
      </c>
      <c r="AC85" s="67">
        <f>IFERROR(_xlfn.XLOOKUP($D85,'Modelling New'!$D:$D,'Modelling New'!P:P),"")</f>
        <v>4.7600000000000007</v>
      </c>
      <c r="AD85" s="101">
        <f>IFERROR(_xlfn.XLOOKUP($D85,'Modelling New'!$D:$D,'Modelling New'!$T:$T)*1000,"")</f>
        <v>25919.748311299463</v>
      </c>
      <c r="AE85" s="109">
        <f>IFERROR(_xlfn.XLOOKUP($D85,'Modelling New'!$D:$D,'Modelling New'!O:O),"")</f>
        <v>0.67889205394445518</v>
      </c>
      <c r="AF85" s="108">
        <f>IFERROR(_xlfn.XLOOKUP($D85,'Modelling New'!$D:$D,'Modelling New'!W:W),"")</f>
        <v>0.13464692403231696</v>
      </c>
      <c r="AG85" s="108">
        <f>IFERROR(_xlfn.XLOOKUP($D85,'Modelling New'!$D:$D,'Modelling New'!AE:AE),"")</f>
        <v>0.98040000000000005</v>
      </c>
      <c r="AH85" s="128">
        <f>IFERROR(_xlfn.XLOOKUP($D85,'Modelling New'!$D:$D,'Modelling New'!AF:AF),"")</f>
        <v>0.98</v>
      </c>
      <c r="AN85" s="105"/>
      <c r="AO85" s="108"/>
      <c r="AP85" s="108"/>
      <c r="AQ85" s="108"/>
      <c r="AR85" s="101">
        <f>'Basic Data'!$B$98/1000</f>
        <v>8.0208999999999993</v>
      </c>
      <c r="AT85" s="7">
        <f>IFERROR(_xlfn.XLOOKUP(Table13[[#This Row],[Date]],'Raw Data'!$G:$G,'Raw Data'!$AN:$AN),"")</f>
        <v>0</v>
      </c>
      <c r="AU85" s="7">
        <f>IFERROR(_xlfn.XLOOKUP(Table13[[#This Row],[Month Year]],'Modelling New'!$D:$D,'Modelling New'!$AO:$AO),"")</f>
        <v>8</v>
      </c>
      <c r="AV85" s="7">
        <f>SUMIF('Curtailment Records'!$C:$C,Table13[[#This Row],[Date]],'Curtailment Records'!$R:$R)/1000</f>
        <v>0</v>
      </c>
    </row>
    <row r="86" spans="1:48" x14ac:dyDescent="0.3">
      <c r="A86" s="100">
        <f t="shared" si="7"/>
        <v>45829</v>
      </c>
      <c r="B86" s="101">
        <f>YEAR(Table13[[#This Row],[Date]])+IF(MONTH(Table13[[#This Row],[Date]])&gt;=4,1,0)</f>
        <v>2026</v>
      </c>
      <c r="C86" s="7">
        <f>YEAR(Table13[[#This Row],[Date]])</f>
        <v>2025</v>
      </c>
      <c r="D86" s="102">
        <f>Table13[[#This Row],[Date]]-DAY(Table13[[#This Row],[Date]])+1</f>
        <v>45809</v>
      </c>
      <c r="E86" s="7">
        <f t="shared" si="4"/>
        <v>30</v>
      </c>
      <c r="F86" s="103">
        <f>IFERROR(_xlfn.XLOOKUP($A86,'Raw Data'!$G:$G,'Raw Data'!$AM:$AM),"")</f>
        <v>12.833333333333332</v>
      </c>
      <c r="G86" s="104">
        <f>IFERROR(_xlfn.XLOOKUP($A86,'Raw Data'!$G:$G,'Raw Data'!$AB:$AB),"")</f>
        <v>0</v>
      </c>
      <c r="H86" s="104"/>
      <c r="I86" s="104">
        <f>IFERROR(_xlfn.XLOOKUP($A86,'Raw Data'!$G:$G,'Raw Data'!$AC:$AC),"")</f>
        <v>5.98</v>
      </c>
      <c r="J86" s="104"/>
      <c r="K86" s="104">
        <f>IFERROR(_xlfn.XLOOKUP($A86,'Raw Data'!$G:$G,'Raw Data'!AD:AD),"")</f>
        <v>0</v>
      </c>
      <c r="L86" s="104">
        <f>IFERROR(_xlfn.XLOOKUP($A86,'Raw Data'!$G:$G,'Raw Data'!AE:AE),"")</f>
        <v>38.619999999999997</v>
      </c>
      <c r="M86" s="104">
        <f>IFERROR(_xlfn.XLOOKUP($A86,'Raw Data'!$G:$G,'Raw Data'!AF:AF),"")</f>
        <v>0</v>
      </c>
      <c r="N86" s="104">
        <f>IFERROR(_xlfn.XLOOKUP($A86,'Raw Data'!$G:$G,'Raw Data'!AG:AG),"")</f>
        <v>0</v>
      </c>
      <c r="O86" s="105">
        <f>IFERROR(1-SUMIF('Plant BD'!$B:$B,$A86,'Plant BD'!$AM:$AM)/($AA86+SUMIF('Plant BD'!$B:$B,$A86,'Plant BD'!$AM:$AM)),"")</f>
        <v>1</v>
      </c>
      <c r="P86" s="105"/>
      <c r="Q86" s="106"/>
      <c r="R86" s="105">
        <f>IFERROR(1-SUMIF('Grid BD'!$B:$B,$A86,'Grid BD'!$AE:$AE)/($AA86+SUMIF('Grid BD'!$B:$B,$A86,'Grid BD'!$AE:$AE)),"")</f>
        <v>1</v>
      </c>
      <c r="T86" s="106"/>
      <c r="U86" s="107">
        <f t="shared" si="5"/>
        <v>0.78599007917907471</v>
      </c>
      <c r="V86" s="107"/>
      <c r="W86" s="108">
        <f t="shared" si="6"/>
        <v>0.19584252806211941</v>
      </c>
      <c r="X86" s="101">
        <f>IFERROR(_xlfn.XLOOKUP($A86,'Raw Data'!$G:$G,'Raw Data'!AI:AI),"")</f>
        <v>38130.100000000006</v>
      </c>
      <c r="Y86" s="101">
        <f>IFERROR(_xlfn.XLOOKUP($A86,'Raw Data'!$G:$G,'Raw Data'!AJ:AJ),"")</f>
        <v>37800.00000000291</v>
      </c>
      <c r="Z86" s="101">
        <f>IFERROR(_xlfn.XLOOKUP($A86,'Raw Data'!$G:$G,'Raw Data'!AK:AK),"")</f>
        <v>100.00000000002274</v>
      </c>
      <c r="AA86" s="101">
        <f>IFERROR(_xlfn.XLOOKUP($A86,'Raw Data'!$G:$G,'Raw Data'!$AL:$AL)*(1+(_xlfn.XLOOKUP(Table13[[#This Row],[Month Year]],JMR!$A:$A,JMR!$J:$J))),"")</f>
        <v>37700.000000002889</v>
      </c>
      <c r="AB86" s="101">
        <f>IFERROR(_xlfn.XLOOKUP($A86,'Raw Data'!$G:$G,'Raw Data'!H:H),"")</f>
        <v>8.0208999999999993</v>
      </c>
      <c r="AC86" s="67">
        <f>IFERROR(_xlfn.XLOOKUP($D86,'Modelling New'!$D:$D,'Modelling New'!P:P),"")</f>
        <v>4.7600000000000007</v>
      </c>
      <c r="AD86" s="101">
        <f>IFERROR(_xlfn.XLOOKUP($D86,'Modelling New'!$D:$D,'Modelling New'!$T:$T)*1000,"")</f>
        <v>25919.748311299463</v>
      </c>
      <c r="AE86" s="109">
        <f>IFERROR(_xlfn.XLOOKUP($D86,'Modelling New'!$D:$D,'Modelling New'!O:O),"")</f>
        <v>0.67889205394445518</v>
      </c>
      <c r="AF86" s="108">
        <f>IFERROR(_xlfn.XLOOKUP($D86,'Modelling New'!$D:$D,'Modelling New'!W:W),"")</f>
        <v>0.13464692403231696</v>
      </c>
      <c r="AG86" s="108">
        <f>IFERROR(_xlfn.XLOOKUP($D86,'Modelling New'!$D:$D,'Modelling New'!AE:AE),"")</f>
        <v>0.98040000000000005</v>
      </c>
      <c r="AH86" s="128">
        <f>IFERROR(_xlfn.XLOOKUP($D86,'Modelling New'!$D:$D,'Modelling New'!AF:AF),"")</f>
        <v>0.98</v>
      </c>
      <c r="AN86" s="105"/>
      <c r="AO86" s="108"/>
      <c r="AP86" s="108"/>
      <c r="AQ86" s="108"/>
      <c r="AR86" s="101">
        <f>'Basic Data'!$B$98/1000</f>
        <v>8.0208999999999993</v>
      </c>
      <c r="AT86" s="7">
        <f>IFERROR(_xlfn.XLOOKUP(Table13[[#This Row],[Date]],'Raw Data'!$G:$G,'Raw Data'!$AN:$AN),"")</f>
        <v>0</v>
      </c>
      <c r="AU86" s="7">
        <f>IFERROR(_xlfn.XLOOKUP(Table13[[#This Row],[Month Year]],'Modelling New'!$D:$D,'Modelling New'!$AO:$AO),"")</f>
        <v>8</v>
      </c>
      <c r="AV86" s="7">
        <f>SUMIF('Curtailment Records'!$C:$C,Table13[[#This Row],[Date]],'Curtailment Records'!$R:$R)/1000</f>
        <v>0</v>
      </c>
    </row>
    <row r="87" spans="1:48" x14ac:dyDescent="0.3">
      <c r="A87" s="100">
        <f t="shared" si="7"/>
        <v>45830</v>
      </c>
      <c r="B87" s="101">
        <f>YEAR(Table13[[#This Row],[Date]])+IF(MONTH(Table13[[#This Row],[Date]])&gt;=4,1,0)</f>
        <v>2026</v>
      </c>
      <c r="C87" s="7">
        <f>YEAR(Table13[[#This Row],[Date]])</f>
        <v>2025</v>
      </c>
      <c r="D87" s="102">
        <f>Table13[[#This Row],[Date]]-DAY(Table13[[#This Row],[Date]])+1</f>
        <v>45809</v>
      </c>
      <c r="E87" s="7">
        <f t="shared" si="4"/>
        <v>30</v>
      </c>
      <c r="F87" s="103">
        <f>IFERROR(_xlfn.XLOOKUP($A87,'Raw Data'!$G:$G,'Raw Data'!$AM:$AM),"")</f>
        <v>12.816666666666666</v>
      </c>
      <c r="G87" s="104">
        <f>IFERROR(_xlfn.XLOOKUP($A87,'Raw Data'!$G:$G,'Raw Data'!$AB:$AB),"")</f>
        <v>0</v>
      </c>
      <c r="H87" s="104"/>
      <c r="I87" s="104">
        <f>IFERROR(_xlfn.XLOOKUP($A87,'Raw Data'!$G:$G,'Raw Data'!$AC:$AC),"")</f>
        <v>5.89</v>
      </c>
      <c r="J87" s="104"/>
      <c r="K87" s="104">
        <f>IFERROR(_xlfn.XLOOKUP($A87,'Raw Data'!$G:$G,'Raw Data'!AD:AD),"")</f>
        <v>0</v>
      </c>
      <c r="L87" s="104">
        <f>IFERROR(_xlfn.XLOOKUP($A87,'Raw Data'!$G:$G,'Raw Data'!AE:AE),"")</f>
        <v>38.299999999999997</v>
      </c>
      <c r="M87" s="104">
        <f>IFERROR(_xlfn.XLOOKUP($A87,'Raw Data'!$G:$G,'Raw Data'!AF:AF),"")</f>
        <v>0</v>
      </c>
      <c r="N87" s="104">
        <f>IFERROR(_xlfn.XLOOKUP($A87,'Raw Data'!$G:$G,'Raw Data'!AG:AG),"")</f>
        <v>0</v>
      </c>
      <c r="O87" s="105">
        <f>IFERROR(1-SUMIF('Plant BD'!$B:$B,$A87,'Plant BD'!$AM:$AM)/($AA87+SUMIF('Plant BD'!$B:$B,$A87,'Plant BD'!$AM:$AM)),"")</f>
        <v>1</v>
      </c>
      <c r="P87" s="105"/>
      <c r="Q87" s="106"/>
      <c r="R87" s="105">
        <f>IFERROR(1-SUMIF('Grid BD'!$B:$B,$A87,'Grid BD'!$AE:$AE)/($AA87+SUMIF('Grid BD'!$B:$B,$A87,'Grid BD'!$AE:$AE)),"")</f>
        <v>1</v>
      </c>
      <c r="T87" s="106"/>
      <c r="U87" s="107">
        <f t="shared" si="5"/>
        <v>0.78953326963008119</v>
      </c>
      <c r="V87" s="107"/>
      <c r="W87" s="108">
        <f t="shared" si="6"/>
        <v>0.19376462325504909</v>
      </c>
      <c r="X87" s="101">
        <f>IFERROR(_xlfn.XLOOKUP($A87,'Raw Data'!$G:$G,'Raw Data'!AI:AI),"")</f>
        <v>37736.1</v>
      </c>
      <c r="Y87" s="101">
        <f>IFERROR(_xlfn.XLOOKUP($A87,'Raw Data'!$G:$G,'Raw Data'!AJ:AJ),"")</f>
        <v>37399.999999994179</v>
      </c>
      <c r="Z87" s="101">
        <f>IFERROR(_xlfn.XLOOKUP($A87,'Raw Data'!$G:$G,'Raw Data'!AK:AK),"")</f>
        <v>100.00000000002274</v>
      </c>
      <c r="AA87" s="101">
        <f>IFERROR(_xlfn.XLOOKUP($A87,'Raw Data'!$G:$G,'Raw Data'!$AL:$AL)*(1+(_xlfn.XLOOKUP(Table13[[#This Row],[Month Year]],JMR!$A:$A,JMR!$J:$J))),"")</f>
        <v>37299.999999994157</v>
      </c>
      <c r="AB87" s="101">
        <f>IFERROR(_xlfn.XLOOKUP($A87,'Raw Data'!$G:$G,'Raw Data'!H:H),"")</f>
        <v>8.0208999999999993</v>
      </c>
      <c r="AC87" s="67">
        <f>IFERROR(_xlfn.XLOOKUP($D87,'Modelling New'!$D:$D,'Modelling New'!P:P),"")</f>
        <v>4.7600000000000007</v>
      </c>
      <c r="AD87" s="101">
        <f>IFERROR(_xlfn.XLOOKUP($D87,'Modelling New'!$D:$D,'Modelling New'!$T:$T)*1000,"")</f>
        <v>25919.748311299463</v>
      </c>
      <c r="AE87" s="109">
        <f>IFERROR(_xlfn.XLOOKUP($D87,'Modelling New'!$D:$D,'Modelling New'!O:O),"")</f>
        <v>0.67889205394445518</v>
      </c>
      <c r="AF87" s="108">
        <f>IFERROR(_xlfn.XLOOKUP($D87,'Modelling New'!$D:$D,'Modelling New'!W:W),"")</f>
        <v>0.13464692403231696</v>
      </c>
      <c r="AG87" s="108">
        <f>IFERROR(_xlfn.XLOOKUP($D87,'Modelling New'!$D:$D,'Modelling New'!AE:AE),"")</f>
        <v>0.98040000000000005</v>
      </c>
      <c r="AH87" s="128">
        <f>IFERROR(_xlfn.XLOOKUP($D87,'Modelling New'!$D:$D,'Modelling New'!AF:AF),"")</f>
        <v>0.98</v>
      </c>
      <c r="AN87" s="105"/>
      <c r="AO87" s="108"/>
      <c r="AP87" s="108"/>
      <c r="AQ87" s="108"/>
      <c r="AR87" s="101">
        <f>'Basic Data'!$B$98/1000</f>
        <v>8.0208999999999993</v>
      </c>
      <c r="AT87" s="7">
        <f>IFERROR(_xlfn.XLOOKUP(Table13[[#This Row],[Date]],'Raw Data'!$G:$G,'Raw Data'!$AN:$AN),"")</f>
        <v>0</v>
      </c>
      <c r="AU87" s="7">
        <f>IFERROR(_xlfn.XLOOKUP(Table13[[#This Row],[Month Year]],'Modelling New'!$D:$D,'Modelling New'!$AO:$AO),"")</f>
        <v>8</v>
      </c>
      <c r="AV87" s="7">
        <f>SUMIF('Curtailment Records'!$C:$C,Table13[[#This Row],[Date]],'Curtailment Records'!$R:$R)/1000</f>
        <v>0</v>
      </c>
    </row>
    <row r="88" spans="1:48" x14ac:dyDescent="0.3">
      <c r="A88" s="100">
        <f t="shared" si="7"/>
        <v>45831</v>
      </c>
      <c r="B88" s="101">
        <f>YEAR(Table13[[#This Row],[Date]])+IF(MONTH(Table13[[#This Row],[Date]])&gt;=4,1,0)</f>
        <v>2026</v>
      </c>
      <c r="C88" s="7">
        <f>YEAR(Table13[[#This Row],[Date]])</f>
        <v>2025</v>
      </c>
      <c r="D88" s="102">
        <f>Table13[[#This Row],[Date]]-DAY(Table13[[#This Row],[Date]])+1</f>
        <v>45809</v>
      </c>
      <c r="E88" s="7">
        <f t="shared" si="4"/>
        <v>30</v>
      </c>
      <c r="F88" s="103">
        <f>IFERROR(_xlfn.XLOOKUP($A88,'Raw Data'!$G:$G,'Raw Data'!$AM:$AM),"")</f>
        <v>12.75</v>
      </c>
      <c r="G88" s="104">
        <f>IFERROR(_xlfn.XLOOKUP($A88,'Raw Data'!$G:$G,'Raw Data'!$AB:$AB),"")</f>
        <v>0</v>
      </c>
      <c r="H88" s="104"/>
      <c r="I88" s="104">
        <f>IFERROR(_xlfn.XLOOKUP($A88,'Raw Data'!$G:$G,'Raw Data'!$AC:$AC),"")</f>
        <v>5.0599999999999996</v>
      </c>
      <c r="J88" s="104"/>
      <c r="K88" s="104">
        <f>IFERROR(_xlfn.XLOOKUP($A88,'Raw Data'!$G:$G,'Raw Data'!AD:AD),"")</f>
        <v>0</v>
      </c>
      <c r="L88" s="104">
        <f>IFERROR(_xlfn.XLOOKUP($A88,'Raw Data'!$G:$G,'Raw Data'!AE:AE),"")</f>
        <v>36.049999999999997</v>
      </c>
      <c r="M88" s="104">
        <f>IFERROR(_xlfn.XLOOKUP($A88,'Raw Data'!$G:$G,'Raw Data'!AF:AF),"")</f>
        <v>0</v>
      </c>
      <c r="N88" s="104">
        <f>IFERROR(_xlfn.XLOOKUP($A88,'Raw Data'!$G:$G,'Raw Data'!AG:AG),"")</f>
        <v>0</v>
      </c>
      <c r="O88" s="105">
        <f>IFERROR(1-SUMIF('Plant BD'!$B:$B,$A88,'Plant BD'!$AM:$AM)/($AA88+SUMIF('Plant BD'!$B:$B,$A88,'Plant BD'!$AM:$AM)),"")</f>
        <v>1</v>
      </c>
      <c r="P88" s="105"/>
      <c r="Q88" s="106"/>
      <c r="R88" s="105">
        <f>IFERROR(1-SUMIF('Grid BD'!$B:$B,$A88,'Grid BD'!$AE:$AE)/($AA88+SUMIF('Grid BD'!$B:$B,$A88,'Grid BD'!$AE:$AE)),"")</f>
        <v>1</v>
      </c>
      <c r="T88" s="106"/>
      <c r="U88" s="107">
        <f t="shared" si="5"/>
        <v>0.79461379478143634</v>
      </c>
      <c r="V88" s="107"/>
      <c r="W88" s="108">
        <f t="shared" si="6"/>
        <v>0.16753107506641945</v>
      </c>
      <c r="X88" s="101">
        <f>IFERROR(_xlfn.XLOOKUP($A88,'Raw Data'!$G:$G,'Raw Data'!AI:AI),"")</f>
        <v>32646</v>
      </c>
      <c r="Y88" s="101">
        <f>IFERROR(_xlfn.XLOOKUP($A88,'Raw Data'!$G:$G,'Raw Data'!AJ:AJ),"")</f>
        <v>32350.000000005821</v>
      </c>
      <c r="Z88" s="101">
        <f>IFERROR(_xlfn.XLOOKUP($A88,'Raw Data'!$G:$G,'Raw Data'!AK:AK),"")</f>
        <v>99.999999999965894</v>
      </c>
      <c r="AA88" s="101">
        <f>IFERROR(_xlfn.XLOOKUP($A88,'Raw Data'!$G:$G,'Raw Data'!$AL:$AL)*(1+(_xlfn.XLOOKUP(Table13[[#This Row],[Month Year]],JMR!$A:$A,JMR!$J:$J))),"")</f>
        <v>32250.000000005854</v>
      </c>
      <c r="AB88" s="101">
        <f>IFERROR(_xlfn.XLOOKUP($A88,'Raw Data'!$G:$G,'Raw Data'!H:H),"")</f>
        <v>8.0208999999999993</v>
      </c>
      <c r="AC88" s="67">
        <f>IFERROR(_xlfn.XLOOKUP($D88,'Modelling New'!$D:$D,'Modelling New'!P:P),"")</f>
        <v>4.7600000000000007</v>
      </c>
      <c r="AD88" s="101">
        <f>IFERROR(_xlfn.XLOOKUP($D88,'Modelling New'!$D:$D,'Modelling New'!$T:$T)*1000,"")</f>
        <v>25919.748311299463</v>
      </c>
      <c r="AE88" s="109">
        <f>IFERROR(_xlfn.XLOOKUP($D88,'Modelling New'!$D:$D,'Modelling New'!O:O),"")</f>
        <v>0.67889205394445518</v>
      </c>
      <c r="AF88" s="108">
        <f>IFERROR(_xlfn.XLOOKUP($D88,'Modelling New'!$D:$D,'Modelling New'!W:W),"")</f>
        <v>0.13464692403231696</v>
      </c>
      <c r="AG88" s="108">
        <f>IFERROR(_xlfn.XLOOKUP($D88,'Modelling New'!$D:$D,'Modelling New'!AE:AE),"")</f>
        <v>0.98040000000000005</v>
      </c>
      <c r="AH88" s="128">
        <f>IFERROR(_xlfn.XLOOKUP($D88,'Modelling New'!$D:$D,'Modelling New'!AF:AF),"")</f>
        <v>0.98</v>
      </c>
      <c r="AN88" s="105"/>
      <c r="AO88" s="108"/>
      <c r="AP88" s="108"/>
      <c r="AQ88" s="108"/>
      <c r="AR88" s="101">
        <f>'Basic Data'!$B$98/1000</f>
        <v>8.0208999999999993</v>
      </c>
      <c r="AT88" s="7">
        <f>IFERROR(_xlfn.XLOOKUP(Table13[[#This Row],[Date]],'Raw Data'!$G:$G,'Raw Data'!$AN:$AN),"")</f>
        <v>0</v>
      </c>
      <c r="AU88" s="7">
        <f>IFERROR(_xlfn.XLOOKUP(Table13[[#This Row],[Month Year]],'Modelling New'!$D:$D,'Modelling New'!$AO:$AO),"")</f>
        <v>8</v>
      </c>
      <c r="AV88" s="7">
        <f>SUMIF('Curtailment Records'!$C:$C,Table13[[#This Row],[Date]],'Curtailment Records'!$R:$R)/1000</f>
        <v>0</v>
      </c>
    </row>
    <row r="89" spans="1:48" x14ac:dyDescent="0.3">
      <c r="A89" s="100">
        <f t="shared" si="7"/>
        <v>45832</v>
      </c>
      <c r="B89" s="101">
        <f>YEAR(Table13[[#This Row],[Date]])+IF(MONTH(Table13[[#This Row],[Date]])&gt;=4,1,0)</f>
        <v>2026</v>
      </c>
      <c r="C89" s="7">
        <f>YEAR(Table13[[#This Row],[Date]])</f>
        <v>2025</v>
      </c>
      <c r="D89" s="102">
        <f>Table13[[#This Row],[Date]]-DAY(Table13[[#This Row],[Date]])+1</f>
        <v>45809</v>
      </c>
      <c r="E89" s="7">
        <f t="shared" si="4"/>
        <v>30</v>
      </c>
      <c r="F89" s="103">
        <f>IFERROR(_xlfn.XLOOKUP($A89,'Raw Data'!$G:$G,'Raw Data'!$AM:$AM),"")</f>
        <v>12.75</v>
      </c>
      <c r="G89" s="104">
        <f>IFERROR(_xlfn.XLOOKUP($A89,'Raw Data'!$G:$G,'Raw Data'!$AB:$AB),"")</f>
        <v>0</v>
      </c>
      <c r="H89" s="104"/>
      <c r="I89" s="104">
        <f>IFERROR(_xlfn.XLOOKUP($A89,'Raw Data'!$G:$G,'Raw Data'!$AC:$AC),"")</f>
        <v>3.22</v>
      </c>
      <c r="J89" s="104"/>
      <c r="K89" s="104">
        <f>IFERROR(_xlfn.XLOOKUP($A89,'Raw Data'!$G:$G,'Raw Data'!AD:AD),"")</f>
        <v>0</v>
      </c>
      <c r="L89" s="104">
        <f>IFERROR(_xlfn.XLOOKUP($A89,'Raw Data'!$G:$G,'Raw Data'!AE:AE),"")</f>
        <v>31.12</v>
      </c>
      <c r="M89" s="104">
        <f>IFERROR(_xlfn.XLOOKUP($A89,'Raw Data'!$G:$G,'Raw Data'!AF:AF),"")</f>
        <v>0</v>
      </c>
      <c r="N89" s="104">
        <f>IFERROR(_xlfn.XLOOKUP($A89,'Raw Data'!$G:$G,'Raw Data'!AG:AG),"")</f>
        <v>0</v>
      </c>
      <c r="O89" s="105">
        <f>IFERROR(1-SUMIF('Plant BD'!$B:$B,$A89,'Plant BD'!$AM:$AM)/($AA89+SUMIF('Plant BD'!$B:$B,$A89,'Plant BD'!$AM:$AM)),"")</f>
        <v>1</v>
      </c>
      <c r="P89" s="105"/>
      <c r="Q89" s="106"/>
      <c r="R89" s="105">
        <f>IFERROR(1-SUMIF('Grid BD'!$B:$B,$A89,'Grid BD'!$AE:$AE)/($AA89+SUMIF('Grid BD'!$B:$B,$A89,'Grid BD'!$AE:$AE)),"")</f>
        <v>0.77264795562776711</v>
      </c>
      <c r="T89" s="106"/>
      <c r="U89" s="107">
        <f t="shared" si="5"/>
        <v>0.6233714421073806</v>
      </c>
      <c r="V89" s="107"/>
      <c r="W89" s="108">
        <f t="shared" si="6"/>
        <v>8.3635668482740233E-2</v>
      </c>
      <c r="X89" s="101">
        <f>IFERROR(_xlfn.XLOOKUP($A89,'Raw Data'!$G:$G,'Raw Data'!AI:AI),"")</f>
        <v>16354.900000000001</v>
      </c>
      <c r="Y89" s="101">
        <f>IFERROR(_xlfn.XLOOKUP($A89,'Raw Data'!$G:$G,'Raw Data'!AJ:AJ),"")</f>
        <v>16199.99999999709</v>
      </c>
      <c r="Z89" s="101">
        <f>IFERROR(_xlfn.XLOOKUP($A89,'Raw Data'!$G:$G,'Raw Data'!AK:AK),"")</f>
        <v>100.00000000002274</v>
      </c>
      <c r="AA89" s="101">
        <f>IFERROR(_xlfn.XLOOKUP($A89,'Raw Data'!$G:$G,'Raw Data'!$AL:$AL)*(1+(_xlfn.XLOOKUP(Table13[[#This Row],[Month Year]],JMR!$A:$A,JMR!$J:$J))),"")</f>
        <v>16099.999999997068</v>
      </c>
      <c r="AB89" s="101">
        <f>IFERROR(_xlfn.XLOOKUP($A89,'Raw Data'!$G:$G,'Raw Data'!H:H),"")</f>
        <v>8.0208999999999993</v>
      </c>
      <c r="AC89" s="67">
        <f>IFERROR(_xlfn.XLOOKUP($D89,'Modelling New'!$D:$D,'Modelling New'!P:P),"")</f>
        <v>4.7600000000000007</v>
      </c>
      <c r="AD89" s="101">
        <f>IFERROR(_xlfn.XLOOKUP($D89,'Modelling New'!$D:$D,'Modelling New'!$T:$T)*1000,"")</f>
        <v>25919.748311299463</v>
      </c>
      <c r="AE89" s="109">
        <f>IFERROR(_xlfn.XLOOKUP($D89,'Modelling New'!$D:$D,'Modelling New'!O:O),"")</f>
        <v>0.67889205394445518</v>
      </c>
      <c r="AF89" s="108">
        <f>IFERROR(_xlfn.XLOOKUP($D89,'Modelling New'!$D:$D,'Modelling New'!W:W),"")</f>
        <v>0.13464692403231696</v>
      </c>
      <c r="AG89" s="108">
        <f>IFERROR(_xlfn.XLOOKUP($D89,'Modelling New'!$D:$D,'Modelling New'!AE:AE),"")</f>
        <v>0.98040000000000005</v>
      </c>
      <c r="AH89" s="128">
        <f>IFERROR(_xlfn.XLOOKUP($D89,'Modelling New'!$D:$D,'Modelling New'!AF:AF),"")</f>
        <v>0.98</v>
      </c>
      <c r="AN89" s="105"/>
      <c r="AO89" s="108"/>
      <c r="AP89" s="108"/>
      <c r="AQ89" s="108"/>
      <c r="AR89" s="101">
        <f>'Basic Data'!$B$98/1000</f>
        <v>8.0208999999999993</v>
      </c>
      <c r="AT89" s="7">
        <f>IFERROR(_xlfn.XLOOKUP(Table13[[#This Row],[Date]],'Raw Data'!$G:$G,'Raw Data'!$AN:$AN),"")</f>
        <v>0</v>
      </c>
      <c r="AU89" s="7">
        <f>IFERROR(_xlfn.XLOOKUP(Table13[[#This Row],[Month Year]],'Modelling New'!$D:$D,'Modelling New'!$AO:$AO),"")</f>
        <v>8</v>
      </c>
      <c r="AV89" s="7">
        <f>SUMIF('Curtailment Records'!$C:$C,Table13[[#This Row],[Date]],'Curtailment Records'!$R:$R)/1000</f>
        <v>0</v>
      </c>
    </row>
    <row r="90" spans="1:48" x14ac:dyDescent="0.3">
      <c r="A90" s="100">
        <f t="shared" si="7"/>
        <v>45833</v>
      </c>
      <c r="B90" s="101">
        <f>YEAR(Table13[[#This Row],[Date]])+IF(MONTH(Table13[[#This Row],[Date]])&gt;=4,1,0)</f>
        <v>2026</v>
      </c>
      <c r="C90" s="7">
        <f>YEAR(Table13[[#This Row],[Date]])</f>
        <v>2025</v>
      </c>
      <c r="D90" s="102">
        <f>Table13[[#This Row],[Date]]-DAY(Table13[[#This Row],[Date]])+1</f>
        <v>45809</v>
      </c>
      <c r="E90" s="7">
        <f t="shared" si="4"/>
        <v>30</v>
      </c>
      <c r="F90" s="103">
        <f>IFERROR(_xlfn.XLOOKUP($A90,'Raw Data'!$G:$G,'Raw Data'!$AM:$AM),"")</f>
        <v>12.600000000000001</v>
      </c>
      <c r="G90" s="104">
        <f>IFERROR(_xlfn.XLOOKUP($A90,'Raw Data'!$G:$G,'Raw Data'!$AB:$AB),"")</f>
        <v>0</v>
      </c>
      <c r="H90" s="104"/>
      <c r="I90" s="104">
        <f>IFERROR(_xlfn.XLOOKUP($A90,'Raw Data'!$G:$G,'Raw Data'!$AC:$AC),"")</f>
        <v>4.18</v>
      </c>
      <c r="J90" s="104"/>
      <c r="K90" s="104">
        <f>IFERROR(_xlfn.XLOOKUP($A90,'Raw Data'!$G:$G,'Raw Data'!AD:AD),"")</f>
        <v>0</v>
      </c>
      <c r="L90" s="104">
        <f>IFERROR(_xlfn.XLOOKUP($A90,'Raw Data'!$G:$G,'Raw Data'!AE:AE),"")</f>
        <v>34.04</v>
      </c>
      <c r="M90" s="104">
        <f>IFERROR(_xlfn.XLOOKUP($A90,'Raw Data'!$G:$G,'Raw Data'!AF:AF),"")</f>
        <v>0</v>
      </c>
      <c r="N90" s="104">
        <f>IFERROR(_xlfn.XLOOKUP($A90,'Raw Data'!$G:$G,'Raw Data'!AG:AG),"")</f>
        <v>0</v>
      </c>
      <c r="O90" s="105">
        <f>IFERROR(1-SUMIF('Plant BD'!$B:$B,$A90,'Plant BD'!$AM:$AM)/($AA90+SUMIF('Plant BD'!$B:$B,$A90,'Plant BD'!$AM:$AM)),"")</f>
        <v>1</v>
      </c>
      <c r="P90" s="105"/>
      <c r="Q90" s="106"/>
      <c r="R90" s="105">
        <f>IFERROR(1-SUMIF('Grid BD'!$B:$B,$A90,'Grid BD'!$AE:$AE)/($AA90+SUMIF('Grid BD'!$B:$B,$A90,'Grid BD'!$AE:$AE)),"")</f>
        <v>0.94358155389147358</v>
      </c>
      <c r="T90" s="106"/>
      <c r="U90" s="107">
        <f t="shared" si="5"/>
        <v>0.76057281214089723</v>
      </c>
      <c r="V90" s="107"/>
      <c r="W90" s="108">
        <f t="shared" si="6"/>
        <v>0.13246643144787293</v>
      </c>
      <c r="X90" s="101">
        <f>IFERROR(_xlfn.XLOOKUP($A90,'Raw Data'!$G:$G,'Raw Data'!AI:AI),"")</f>
        <v>25813.599999999999</v>
      </c>
      <c r="Y90" s="101">
        <f>IFERROR(_xlfn.XLOOKUP($A90,'Raw Data'!$G:$G,'Raw Data'!AJ:AJ),"")</f>
        <v>25600.000000005821</v>
      </c>
      <c r="Z90" s="101">
        <f>IFERROR(_xlfn.XLOOKUP($A90,'Raw Data'!$G:$G,'Raw Data'!AK:AK),"")</f>
        <v>99.999999999965894</v>
      </c>
      <c r="AA90" s="101">
        <f>IFERROR(_xlfn.XLOOKUP($A90,'Raw Data'!$G:$G,'Raw Data'!$AL:$AL)*(1+(_xlfn.XLOOKUP(Table13[[#This Row],[Month Year]],JMR!$A:$A,JMR!$J:$J))),"")</f>
        <v>25500.000000005854</v>
      </c>
      <c r="AB90" s="101">
        <f>IFERROR(_xlfn.XLOOKUP($A90,'Raw Data'!$G:$G,'Raw Data'!H:H),"")</f>
        <v>8.0208999999999993</v>
      </c>
      <c r="AC90" s="67">
        <f>IFERROR(_xlfn.XLOOKUP($D90,'Modelling New'!$D:$D,'Modelling New'!P:P),"")</f>
        <v>4.7600000000000007</v>
      </c>
      <c r="AD90" s="101">
        <f>IFERROR(_xlfn.XLOOKUP($D90,'Modelling New'!$D:$D,'Modelling New'!$T:$T)*1000,"")</f>
        <v>25919.748311299463</v>
      </c>
      <c r="AE90" s="109">
        <f>IFERROR(_xlfn.XLOOKUP($D90,'Modelling New'!$D:$D,'Modelling New'!O:O),"")</f>
        <v>0.67889205394445518</v>
      </c>
      <c r="AF90" s="108">
        <f>IFERROR(_xlfn.XLOOKUP($D90,'Modelling New'!$D:$D,'Modelling New'!W:W),"")</f>
        <v>0.13464692403231696</v>
      </c>
      <c r="AG90" s="108">
        <f>IFERROR(_xlfn.XLOOKUP($D90,'Modelling New'!$D:$D,'Modelling New'!AE:AE),"")</f>
        <v>0.98040000000000005</v>
      </c>
      <c r="AH90" s="128">
        <f>IFERROR(_xlfn.XLOOKUP($D90,'Modelling New'!$D:$D,'Modelling New'!AF:AF),"")</f>
        <v>0.98</v>
      </c>
      <c r="AN90" s="105"/>
      <c r="AO90" s="108"/>
      <c r="AP90" s="108"/>
      <c r="AQ90" s="108"/>
      <c r="AR90" s="101">
        <f>'Basic Data'!$B$98/1000</f>
        <v>8.0208999999999993</v>
      </c>
      <c r="AT90" s="7">
        <f>IFERROR(_xlfn.XLOOKUP(Table13[[#This Row],[Date]],'Raw Data'!$G:$G,'Raw Data'!$AN:$AN),"")</f>
        <v>0</v>
      </c>
      <c r="AU90" s="7">
        <f>IFERROR(_xlfn.XLOOKUP(Table13[[#This Row],[Month Year]],'Modelling New'!$D:$D,'Modelling New'!$AO:$AO),"")</f>
        <v>8</v>
      </c>
      <c r="AV90" s="7">
        <f>SUMIF('Curtailment Records'!$C:$C,Table13[[#This Row],[Date]],'Curtailment Records'!$R:$R)/1000</f>
        <v>0</v>
      </c>
    </row>
    <row r="91" spans="1:48" x14ac:dyDescent="0.3">
      <c r="A91" s="100">
        <f t="shared" si="7"/>
        <v>45834</v>
      </c>
      <c r="B91" s="101">
        <f>YEAR(Table13[[#This Row],[Date]])+IF(MONTH(Table13[[#This Row],[Date]])&gt;=4,1,0)</f>
        <v>2026</v>
      </c>
      <c r="C91" s="7">
        <f>YEAR(Table13[[#This Row],[Date]])</f>
        <v>2025</v>
      </c>
      <c r="D91" s="102">
        <f>Table13[[#This Row],[Date]]-DAY(Table13[[#This Row],[Date]])+1</f>
        <v>45809</v>
      </c>
      <c r="E91" s="7">
        <f t="shared" si="4"/>
        <v>30</v>
      </c>
      <c r="F91" s="103">
        <f>IFERROR(_xlfn.XLOOKUP($A91,'Raw Data'!$G:$G,'Raw Data'!$AM:$AM),"")</f>
        <v>12.633333333333333</v>
      </c>
      <c r="G91" s="104">
        <f>IFERROR(_xlfn.XLOOKUP($A91,'Raw Data'!$G:$G,'Raw Data'!$AB:$AB),"")</f>
        <v>0</v>
      </c>
      <c r="H91" s="104"/>
      <c r="I91" s="104">
        <f>IFERROR(_xlfn.XLOOKUP($A91,'Raw Data'!$G:$G,'Raw Data'!$AC:$AC),"")</f>
        <v>3.64</v>
      </c>
      <c r="J91" s="104"/>
      <c r="K91" s="104">
        <f>IFERROR(_xlfn.XLOOKUP($A91,'Raw Data'!$G:$G,'Raw Data'!AD:AD),"")</f>
        <v>0</v>
      </c>
      <c r="L91" s="104">
        <f>IFERROR(_xlfn.XLOOKUP($A91,'Raw Data'!$G:$G,'Raw Data'!AE:AE),"")</f>
        <v>33.06</v>
      </c>
      <c r="M91" s="104">
        <f>IFERROR(_xlfn.XLOOKUP($A91,'Raw Data'!$G:$G,'Raw Data'!AF:AF),"")</f>
        <v>0</v>
      </c>
      <c r="N91" s="104">
        <f>IFERROR(_xlfn.XLOOKUP($A91,'Raw Data'!$G:$G,'Raw Data'!AG:AG),"")</f>
        <v>0</v>
      </c>
      <c r="O91" s="105">
        <f>IFERROR(1-SUMIF('Plant BD'!$B:$B,$A91,'Plant BD'!$AM:$AM)/($AA91+SUMIF('Plant BD'!$B:$B,$A91,'Plant BD'!$AM:$AM)),"")</f>
        <v>1</v>
      </c>
      <c r="P91" s="105"/>
      <c r="Q91" s="106"/>
      <c r="R91" s="105">
        <f>IFERROR(1-SUMIF('Grid BD'!$B:$B,$A91,'Grid BD'!$AE:$AE)/($AA91+SUMIF('Grid BD'!$B:$B,$A91,'Grid BD'!$AE:$AE)),"")</f>
        <v>1</v>
      </c>
      <c r="T91" s="106"/>
      <c r="U91" s="107">
        <f t="shared" si="5"/>
        <v>0.82887851093423959</v>
      </c>
      <c r="V91" s="107"/>
      <c r="W91" s="108">
        <f t="shared" si="6"/>
        <v>0.12571324082502633</v>
      </c>
      <c r="X91" s="101">
        <f>IFERROR(_xlfn.XLOOKUP($A91,'Raw Data'!$G:$G,'Raw Data'!AI:AI),"")</f>
        <v>24501.9</v>
      </c>
      <c r="Y91" s="101">
        <f>IFERROR(_xlfn.XLOOKUP($A91,'Raw Data'!$G:$G,'Raw Data'!AJ:AJ),"")</f>
        <v>24300.00000000291</v>
      </c>
      <c r="Z91" s="101">
        <f>IFERROR(_xlfn.XLOOKUP($A91,'Raw Data'!$G:$G,'Raw Data'!AK:AK),"")</f>
        <v>100.00000000002274</v>
      </c>
      <c r="AA91" s="101">
        <f>IFERROR(_xlfn.XLOOKUP($A91,'Raw Data'!$G:$G,'Raw Data'!$AL:$AL)*(1+(_xlfn.XLOOKUP(Table13[[#This Row],[Month Year]],JMR!$A:$A,JMR!$J:$J))),"")</f>
        <v>24200.000000002889</v>
      </c>
      <c r="AB91" s="101">
        <f>IFERROR(_xlfn.XLOOKUP($A91,'Raw Data'!$G:$G,'Raw Data'!H:H),"")</f>
        <v>8.0208999999999993</v>
      </c>
      <c r="AC91" s="67">
        <f>IFERROR(_xlfn.XLOOKUP($D91,'Modelling New'!$D:$D,'Modelling New'!P:P),"")</f>
        <v>4.7600000000000007</v>
      </c>
      <c r="AD91" s="101">
        <f>IFERROR(_xlfn.XLOOKUP($D91,'Modelling New'!$D:$D,'Modelling New'!$T:$T)*1000,"")</f>
        <v>25919.748311299463</v>
      </c>
      <c r="AE91" s="109">
        <f>IFERROR(_xlfn.XLOOKUP($D91,'Modelling New'!$D:$D,'Modelling New'!O:O),"")</f>
        <v>0.67889205394445518</v>
      </c>
      <c r="AF91" s="108">
        <f>IFERROR(_xlfn.XLOOKUP($D91,'Modelling New'!$D:$D,'Modelling New'!W:W),"")</f>
        <v>0.13464692403231696</v>
      </c>
      <c r="AG91" s="108">
        <f>IFERROR(_xlfn.XLOOKUP($D91,'Modelling New'!$D:$D,'Modelling New'!AE:AE),"")</f>
        <v>0.98040000000000005</v>
      </c>
      <c r="AH91" s="128">
        <f>IFERROR(_xlfn.XLOOKUP($D91,'Modelling New'!$D:$D,'Modelling New'!AF:AF),"")</f>
        <v>0.98</v>
      </c>
      <c r="AN91" s="105"/>
      <c r="AO91" s="108"/>
      <c r="AP91" s="108"/>
      <c r="AQ91" s="108"/>
      <c r="AR91" s="101">
        <f>'Basic Data'!$B$98/1000</f>
        <v>8.0208999999999993</v>
      </c>
      <c r="AT91" s="7">
        <f>IFERROR(_xlfn.XLOOKUP(Table13[[#This Row],[Date]],'Raw Data'!$G:$G,'Raw Data'!$AN:$AN),"")</f>
        <v>0</v>
      </c>
      <c r="AU91" s="7">
        <f>IFERROR(_xlfn.XLOOKUP(Table13[[#This Row],[Month Year]],'Modelling New'!$D:$D,'Modelling New'!$AO:$AO),"")</f>
        <v>8</v>
      </c>
      <c r="AV91" s="7">
        <f>SUMIF('Curtailment Records'!$C:$C,Table13[[#This Row],[Date]],'Curtailment Records'!$R:$R)/1000</f>
        <v>0</v>
      </c>
    </row>
    <row r="92" spans="1:48" x14ac:dyDescent="0.3">
      <c r="A92" s="100">
        <f t="shared" si="7"/>
        <v>45835</v>
      </c>
      <c r="B92" s="101">
        <f>YEAR(Table13[[#This Row],[Date]])+IF(MONTH(Table13[[#This Row],[Date]])&gt;=4,1,0)</f>
        <v>2026</v>
      </c>
      <c r="C92" s="7">
        <f>YEAR(Table13[[#This Row],[Date]])</f>
        <v>2025</v>
      </c>
      <c r="D92" s="102">
        <f>Table13[[#This Row],[Date]]-DAY(Table13[[#This Row],[Date]])+1</f>
        <v>45809</v>
      </c>
      <c r="E92" s="7">
        <f t="shared" si="4"/>
        <v>30</v>
      </c>
      <c r="F92" s="103">
        <f>IFERROR(_xlfn.XLOOKUP($A92,'Raw Data'!$G:$G,'Raw Data'!$AM:$AM),"")</f>
        <v>12.966666666666665</v>
      </c>
      <c r="G92" s="104">
        <f>IFERROR(_xlfn.XLOOKUP($A92,'Raw Data'!$G:$G,'Raw Data'!$AB:$AB),"")</f>
        <v>0</v>
      </c>
      <c r="H92" s="104"/>
      <c r="I92" s="104">
        <f>IFERROR(_xlfn.XLOOKUP($A92,'Raw Data'!$G:$G,'Raw Data'!$AC:$AC),"")</f>
        <v>5.82</v>
      </c>
      <c r="J92" s="104"/>
      <c r="K92" s="104">
        <f>IFERROR(_xlfn.XLOOKUP($A92,'Raw Data'!$G:$G,'Raw Data'!AD:AD),"")</f>
        <v>0</v>
      </c>
      <c r="L92" s="104">
        <f>IFERROR(_xlfn.XLOOKUP($A92,'Raw Data'!$G:$G,'Raw Data'!AE:AE),"")</f>
        <v>36.89</v>
      </c>
      <c r="M92" s="104">
        <f>IFERROR(_xlfn.XLOOKUP($A92,'Raw Data'!$G:$G,'Raw Data'!AF:AF),"")</f>
        <v>0</v>
      </c>
      <c r="N92" s="104">
        <f>IFERROR(_xlfn.XLOOKUP($A92,'Raw Data'!$G:$G,'Raw Data'!AG:AG),"")</f>
        <v>0</v>
      </c>
      <c r="O92" s="105">
        <f>IFERROR(1-SUMIF('Plant BD'!$B:$B,$A92,'Plant BD'!$AM:$AM)/($AA92+SUMIF('Plant BD'!$B:$B,$A92,'Plant BD'!$AM:$AM)),"")</f>
        <v>1</v>
      </c>
      <c r="P92" s="105"/>
      <c r="Q92" s="106"/>
      <c r="R92" s="105">
        <f>IFERROR(1-SUMIF('Grid BD'!$B:$B,$A92,'Grid BD'!$AE:$AE)/($AA92+SUMIF('Grid BD'!$B:$B,$A92,'Grid BD'!$AE:$AE)),"")</f>
        <v>1</v>
      </c>
      <c r="T92" s="106"/>
      <c r="U92" s="107">
        <f t="shared" si="5"/>
        <v>0.77653659025399346</v>
      </c>
      <c r="V92" s="107"/>
      <c r="W92" s="108">
        <f t="shared" si="6"/>
        <v>0.1883101231365934</v>
      </c>
      <c r="X92" s="101">
        <f>IFERROR(_xlfn.XLOOKUP($A92,'Raw Data'!$G:$G,'Raw Data'!AI:AI),"")</f>
        <v>36684.1</v>
      </c>
      <c r="Y92" s="101">
        <f>IFERROR(_xlfn.XLOOKUP($A92,'Raw Data'!$G:$G,'Raw Data'!AJ:AJ),"")</f>
        <v>36349.999999991269</v>
      </c>
      <c r="Z92" s="101">
        <f>IFERROR(_xlfn.XLOOKUP($A92,'Raw Data'!$G:$G,'Raw Data'!AK:AK),"")</f>
        <v>100.00000000002274</v>
      </c>
      <c r="AA92" s="101">
        <f>IFERROR(_xlfn.XLOOKUP($A92,'Raw Data'!$G:$G,'Raw Data'!$AL:$AL)*(1+(_xlfn.XLOOKUP(Table13[[#This Row],[Month Year]],JMR!$A:$A,JMR!$J:$J))),"")</f>
        <v>36249.999999991247</v>
      </c>
      <c r="AB92" s="101">
        <f>IFERROR(_xlfn.XLOOKUP($A92,'Raw Data'!$G:$G,'Raw Data'!H:H),"")</f>
        <v>8.0208999999999993</v>
      </c>
      <c r="AC92" s="67">
        <f>IFERROR(_xlfn.XLOOKUP($D92,'Modelling New'!$D:$D,'Modelling New'!P:P),"")</f>
        <v>4.7600000000000007</v>
      </c>
      <c r="AD92" s="101">
        <f>IFERROR(_xlfn.XLOOKUP($D92,'Modelling New'!$D:$D,'Modelling New'!$T:$T)*1000,"")</f>
        <v>25919.748311299463</v>
      </c>
      <c r="AE92" s="109">
        <f>IFERROR(_xlfn.XLOOKUP($D92,'Modelling New'!$D:$D,'Modelling New'!O:O),"")</f>
        <v>0.67889205394445518</v>
      </c>
      <c r="AF92" s="108">
        <f>IFERROR(_xlfn.XLOOKUP($D92,'Modelling New'!$D:$D,'Modelling New'!W:W),"")</f>
        <v>0.13464692403231696</v>
      </c>
      <c r="AG92" s="108">
        <f>IFERROR(_xlfn.XLOOKUP($D92,'Modelling New'!$D:$D,'Modelling New'!AE:AE),"")</f>
        <v>0.98040000000000005</v>
      </c>
      <c r="AH92" s="128">
        <f>IFERROR(_xlfn.XLOOKUP($D92,'Modelling New'!$D:$D,'Modelling New'!AF:AF),"")</f>
        <v>0.98</v>
      </c>
      <c r="AN92" s="105"/>
      <c r="AO92" s="108"/>
      <c r="AP92" s="108"/>
      <c r="AQ92" s="108"/>
      <c r="AR92" s="101">
        <f>'Basic Data'!$B$98/1000</f>
        <v>8.0208999999999993</v>
      </c>
      <c r="AT92" s="7">
        <f>IFERROR(_xlfn.XLOOKUP(Table13[[#This Row],[Date]],'Raw Data'!$G:$G,'Raw Data'!$AN:$AN),"")</f>
        <v>0</v>
      </c>
      <c r="AU92" s="7">
        <f>IFERROR(_xlfn.XLOOKUP(Table13[[#This Row],[Month Year]],'Modelling New'!$D:$D,'Modelling New'!$AO:$AO),"")</f>
        <v>8</v>
      </c>
      <c r="AV92" s="7">
        <f>SUMIF('Curtailment Records'!$C:$C,Table13[[#This Row],[Date]],'Curtailment Records'!$R:$R)/1000</f>
        <v>0</v>
      </c>
    </row>
    <row r="93" spans="1:48" x14ac:dyDescent="0.3">
      <c r="A93" s="100">
        <f t="shared" si="7"/>
        <v>45836</v>
      </c>
      <c r="B93" s="101">
        <f>YEAR(Table13[[#This Row],[Date]])+IF(MONTH(Table13[[#This Row],[Date]])&gt;=4,1,0)</f>
        <v>2026</v>
      </c>
      <c r="C93" s="7">
        <f>YEAR(Table13[[#This Row],[Date]])</f>
        <v>2025</v>
      </c>
      <c r="D93" s="102">
        <f>Table13[[#This Row],[Date]]-DAY(Table13[[#This Row],[Date]])+1</f>
        <v>45809</v>
      </c>
      <c r="E93" s="7">
        <f t="shared" si="4"/>
        <v>30</v>
      </c>
      <c r="F93" s="103">
        <f>IFERROR(_xlfn.XLOOKUP($A93,'Raw Data'!$G:$G,'Raw Data'!$AM:$AM),"")</f>
        <v>12.85</v>
      </c>
      <c r="G93" s="104">
        <f>IFERROR(_xlfn.XLOOKUP($A93,'Raw Data'!$G:$G,'Raw Data'!$AB:$AB),"")</f>
        <v>0</v>
      </c>
      <c r="H93" s="104"/>
      <c r="I93" s="104">
        <f>IFERROR(_xlfn.XLOOKUP($A93,'Raw Data'!$G:$G,'Raw Data'!$AC:$AC),"")</f>
        <v>5.24</v>
      </c>
      <c r="J93" s="104"/>
      <c r="K93" s="104">
        <f>IFERROR(_xlfn.XLOOKUP($A93,'Raw Data'!$G:$G,'Raw Data'!AD:AD),"")</f>
        <v>0</v>
      </c>
      <c r="L93" s="104">
        <f>IFERROR(_xlfn.XLOOKUP($A93,'Raw Data'!$G:$G,'Raw Data'!AE:AE),"")</f>
        <v>36.97</v>
      </c>
      <c r="M93" s="104">
        <f>IFERROR(_xlfn.XLOOKUP($A93,'Raw Data'!$G:$G,'Raw Data'!AF:AF),"")</f>
        <v>0</v>
      </c>
      <c r="N93" s="104">
        <f>IFERROR(_xlfn.XLOOKUP($A93,'Raw Data'!$G:$G,'Raw Data'!AG:AG),"")</f>
        <v>0</v>
      </c>
      <c r="O93" s="105">
        <f>IFERROR(1-SUMIF('Plant BD'!$B:$B,$A93,'Plant BD'!$AM:$AM)/($AA93+SUMIF('Plant BD'!$B:$B,$A93,'Plant BD'!$AM:$AM)),"")</f>
        <v>1</v>
      </c>
      <c r="P93" s="105"/>
      <c r="Q93" s="106"/>
      <c r="R93" s="105">
        <f>IFERROR(1-SUMIF('Grid BD'!$B:$B,$A93,'Grid BD'!$AE:$AE)/($AA93+SUMIF('Grid BD'!$B:$B,$A93,'Grid BD'!$AE:$AE)),"")</f>
        <v>0.99039814824434524</v>
      </c>
      <c r="T93" s="106"/>
      <c r="U93" s="107">
        <f t="shared" si="5"/>
        <v>0.80181746561161804</v>
      </c>
      <c r="V93" s="107"/>
      <c r="W93" s="108">
        <f t="shared" si="6"/>
        <v>0.17506347999186991</v>
      </c>
      <c r="X93" s="101">
        <f>IFERROR(_xlfn.XLOOKUP($A93,'Raw Data'!$G:$G,'Raw Data'!AI:AI),"")</f>
        <v>34105.700000000004</v>
      </c>
      <c r="Y93" s="101">
        <f>IFERROR(_xlfn.XLOOKUP($A93,'Raw Data'!$G:$G,'Raw Data'!AJ:AJ),"")</f>
        <v>33800.00000000291</v>
      </c>
      <c r="Z93" s="101">
        <f>IFERROR(_xlfn.XLOOKUP($A93,'Raw Data'!$G:$G,'Raw Data'!AK:AK),"")</f>
        <v>99.999999999965894</v>
      </c>
      <c r="AA93" s="101">
        <f>IFERROR(_xlfn.XLOOKUP($A93,'Raw Data'!$G:$G,'Raw Data'!$AL:$AL)*(1+(_xlfn.XLOOKUP(Table13[[#This Row],[Month Year]],JMR!$A:$A,JMR!$J:$J))),"")</f>
        <v>33700.000000002947</v>
      </c>
      <c r="AB93" s="101">
        <f>IFERROR(_xlfn.XLOOKUP($A93,'Raw Data'!$G:$G,'Raw Data'!H:H),"")</f>
        <v>8.0208999999999993</v>
      </c>
      <c r="AC93" s="67">
        <f>IFERROR(_xlfn.XLOOKUP($D93,'Modelling New'!$D:$D,'Modelling New'!P:P),"")</f>
        <v>4.7600000000000007</v>
      </c>
      <c r="AD93" s="101">
        <f>IFERROR(_xlfn.XLOOKUP($D93,'Modelling New'!$D:$D,'Modelling New'!$T:$T)*1000,"")</f>
        <v>25919.748311299463</v>
      </c>
      <c r="AE93" s="109">
        <f>IFERROR(_xlfn.XLOOKUP($D93,'Modelling New'!$D:$D,'Modelling New'!O:O),"")</f>
        <v>0.67889205394445518</v>
      </c>
      <c r="AF93" s="108">
        <f>IFERROR(_xlfn.XLOOKUP($D93,'Modelling New'!$D:$D,'Modelling New'!W:W),"")</f>
        <v>0.13464692403231696</v>
      </c>
      <c r="AG93" s="108">
        <f>IFERROR(_xlfn.XLOOKUP($D93,'Modelling New'!$D:$D,'Modelling New'!AE:AE),"")</f>
        <v>0.98040000000000005</v>
      </c>
      <c r="AH93" s="128">
        <f>IFERROR(_xlfn.XLOOKUP($D93,'Modelling New'!$D:$D,'Modelling New'!AF:AF),"")</f>
        <v>0.98</v>
      </c>
      <c r="AN93" s="105"/>
      <c r="AO93" s="108"/>
      <c r="AP93" s="108"/>
      <c r="AQ93" s="108"/>
      <c r="AR93" s="101">
        <f>'Basic Data'!$B$98/1000</f>
        <v>8.0208999999999993</v>
      </c>
      <c r="AT93" s="7">
        <f>IFERROR(_xlfn.XLOOKUP(Table13[[#This Row],[Date]],'Raw Data'!$G:$G,'Raw Data'!$AN:$AN),"")</f>
        <v>0</v>
      </c>
      <c r="AU93" s="7">
        <f>IFERROR(_xlfn.XLOOKUP(Table13[[#This Row],[Month Year]],'Modelling New'!$D:$D,'Modelling New'!$AO:$AO),"")</f>
        <v>8</v>
      </c>
      <c r="AV93" s="7">
        <f>SUMIF('Curtailment Records'!$C:$C,Table13[[#This Row],[Date]],'Curtailment Records'!$R:$R)/1000</f>
        <v>0</v>
      </c>
    </row>
    <row r="94" spans="1:48" x14ac:dyDescent="0.3">
      <c r="A94" s="100">
        <f t="shared" si="7"/>
        <v>45837</v>
      </c>
      <c r="B94" s="101">
        <f>YEAR(Table13[[#This Row],[Date]])+IF(MONTH(Table13[[#This Row],[Date]])&gt;=4,1,0)</f>
        <v>2026</v>
      </c>
      <c r="C94" s="7">
        <f>YEAR(Table13[[#This Row],[Date]])</f>
        <v>2025</v>
      </c>
      <c r="D94" s="102">
        <f>Table13[[#This Row],[Date]]-DAY(Table13[[#This Row],[Date]])+1</f>
        <v>45809</v>
      </c>
      <c r="E94" s="7">
        <f t="shared" si="4"/>
        <v>30</v>
      </c>
      <c r="F94" s="103">
        <f>IFERROR(_xlfn.XLOOKUP($A94,'Raw Data'!$G:$G,'Raw Data'!$AM:$AM),"")</f>
        <v>12.733333333333334</v>
      </c>
      <c r="G94" s="104">
        <f>IFERROR(_xlfn.XLOOKUP($A94,'Raw Data'!$G:$G,'Raw Data'!$AB:$AB),"")</f>
        <v>0</v>
      </c>
      <c r="H94" s="104"/>
      <c r="I94" s="104">
        <f>IFERROR(_xlfn.XLOOKUP($A94,'Raw Data'!$G:$G,'Raw Data'!$AC:$AC),"")</f>
        <v>3.64</v>
      </c>
      <c r="J94" s="104"/>
      <c r="K94" s="104">
        <f>IFERROR(_xlfn.XLOOKUP($A94,'Raw Data'!$G:$G,'Raw Data'!AD:AD),"")</f>
        <v>0</v>
      </c>
      <c r="L94" s="104">
        <f>IFERROR(_xlfn.XLOOKUP($A94,'Raw Data'!$G:$G,'Raw Data'!AE:AE),"")</f>
        <v>33.06</v>
      </c>
      <c r="M94" s="104">
        <f>IFERROR(_xlfn.XLOOKUP($A94,'Raw Data'!$G:$G,'Raw Data'!AF:AF),"")</f>
        <v>0</v>
      </c>
      <c r="N94" s="104">
        <f>IFERROR(_xlfn.XLOOKUP($A94,'Raw Data'!$G:$G,'Raw Data'!AG:AG),"")</f>
        <v>0</v>
      </c>
      <c r="O94" s="105">
        <f>IFERROR(1-SUMIF('Plant BD'!$B:$B,$A94,'Plant BD'!$AM:$AM)/($AA94+SUMIF('Plant BD'!$B:$B,$A94,'Plant BD'!$AM:$AM)),"")</f>
        <v>1</v>
      </c>
      <c r="P94" s="105"/>
      <c r="Q94" s="106"/>
      <c r="R94" s="105">
        <f>IFERROR(1-SUMIF('Grid BD'!$B:$B,$A94,'Grid BD'!$AE:$AE)/($AA94+SUMIF('Grid BD'!$B:$B,$A94,'Grid BD'!$AE:$AE)),"")</f>
        <v>1</v>
      </c>
      <c r="T94" s="106"/>
      <c r="U94" s="107">
        <f t="shared" si="5"/>
        <v>0.82202827530678435</v>
      </c>
      <c r="V94" s="107"/>
      <c r="W94" s="108">
        <f t="shared" si="6"/>
        <v>0.12467428842152896</v>
      </c>
      <c r="X94" s="101">
        <f>IFERROR(_xlfn.XLOOKUP($A94,'Raw Data'!$G:$G,'Raw Data'!AI:AI),"")</f>
        <v>24311.800000000003</v>
      </c>
      <c r="Y94" s="101">
        <f>IFERROR(_xlfn.XLOOKUP($A94,'Raw Data'!$G:$G,'Raw Data'!AJ:AJ),"")</f>
        <v>24100.000000005821</v>
      </c>
      <c r="Z94" s="101">
        <f>IFERROR(_xlfn.XLOOKUP($A94,'Raw Data'!$G:$G,'Raw Data'!AK:AK),"")</f>
        <v>100.00000000002274</v>
      </c>
      <c r="AA94" s="101">
        <f>IFERROR(_xlfn.XLOOKUP($A94,'Raw Data'!$G:$G,'Raw Data'!$AL:$AL)*(1+(_xlfn.XLOOKUP(Table13[[#This Row],[Month Year]],JMR!$A:$A,JMR!$J:$J))),"")</f>
        <v>24000.000000005799</v>
      </c>
      <c r="AB94" s="101">
        <f>IFERROR(_xlfn.XLOOKUP($A94,'Raw Data'!$G:$G,'Raw Data'!H:H),"")</f>
        <v>8.0208999999999993</v>
      </c>
      <c r="AC94" s="67">
        <f>IFERROR(_xlfn.XLOOKUP($D94,'Modelling New'!$D:$D,'Modelling New'!P:P),"")</f>
        <v>4.7600000000000007</v>
      </c>
      <c r="AD94" s="101">
        <f>IFERROR(_xlfn.XLOOKUP($D94,'Modelling New'!$D:$D,'Modelling New'!$T:$T)*1000,"")</f>
        <v>25919.748311299463</v>
      </c>
      <c r="AE94" s="109">
        <f>IFERROR(_xlfn.XLOOKUP($D94,'Modelling New'!$D:$D,'Modelling New'!O:O),"")</f>
        <v>0.67889205394445518</v>
      </c>
      <c r="AF94" s="108">
        <f>IFERROR(_xlfn.XLOOKUP($D94,'Modelling New'!$D:$D,'Modelling New'!W:W),"")</f>
        <v>0.13464692403231696</v>
      </c>
      <c r="AG94" s="108">
        <f>IFERROR(_xlfn.XLOOKUP($D94,'Modelling New'!$D:$D,'Modelling New'!AE:AE),"")</f>
        <v>0.98040000000000005</v>
      </c>
      <c r="AH94" s="128">
        <f>IFERROR(_xlfn.XLOOKUP($D94,'Modelling New'!$D:$D,'Modelling New'!AF:AF),"")</f>
        <v>0.98</v>
      </c>
      <c r="AN94" s="105"/>
      <c r="AO94" s="108"/>
      <c r="AP94" s="108"/>
      <c r="AQ94" s="108"/>
      <c r="AR94" s="101">
        <f>'Basic Data'!$B$98/1000</f>
        <v>8.0208999999999993</v>
      </c>
      <c r="AT94" s="7">
        <f>IFERROR(_xlfn.XLOOKUP(Table13[[#This Row],[Date]],'Raw Data'!$G:$G,'Raw Data'!$AN:$AN),"")</f>
        <v>0</v>
      </c>
      <c r="AU94" s="7">
        <f>IFERROR(_xlfn.XLOOKUP(Table13[[#This Row],[Month Year]],'Modelling New'!$D:$D,'Modelling New'!$AO:$AO),"")</f>
        <v>8</v>
      </c>
      <c r="AV94" s="7">
        <f>SUMIF('Curtailment Records'!$C:$C,Table13[[#This Row],[Date]],'Curtailment Records'!$R:$R)/1000</f>
        <v>0</v>
      </c>
    </row>
    <row r="95" spans="1:48" x14ac:dyDescent="0.3">
      <c r="A95" s="100">
        <f t="shared" si="7"/>
        <v>45838</v>
      </c>
      <c r="B95" s="101">
        <f>YEAR(Table13[[#This Row],[Date]])+IF(MONTH(Table13[[#This Row],[Date]])&gt;=4,1,0)</f>
        <v>2026</v>
      </c>
      <c r="C95" s="7">
        <f>YEAR(Table13[[#This Row],[Date]])</f>
        <v>2025</v>
      </c>
      <c r="D95" s="102">
        <f>Table13[[#This Row],[Date]]-DAY(Table13[[#This Row],[Date]])+1</f>
        <v>45809</v>
      </c>
      <c r="E95" s="7">
        <f t="shared" si="4"/>
        <v>30</v>
      </c>
      <c r="F95" s="103">
        <f>IFERROR(_xlfn.XLOOKUP($A95,'Raw Data'!$G:$G,'Raw Data'!$AM:$AM),"")</f>
        <v>12.5</v>
      </c>
      <c r="G95" s="104">
        <f>IFERROR(_xlfn.XLOOKUP($A95,'Raw Data'!$G:$G,'Raw Data'!$AB:$AB),"")</f>
        <v>0</v>
      </c>
      <c r="H95" s="104"/>
      <c r="I95" s="104">
        <f>IFERROR(_xlfn.XLOOKUP($A95,'Raw Data'!$G:$G,'Raw Data'!$AC:$AC),"")</f>
        <v>3.25</v>
      </c>
      <c r="J95" s="104"/>
      <c r="K95" s="104">
        <f>IFERROR(_xlfn.XLOOKUP($A95,'Raw Data'!$G:$G,'Raw Data'!AD:AD),"")</f>
        <v>0</v>
      </c>
      <c r="L95" s="104">
        <f>IFERROR(_xlfn.XLOOKUP($A95,'Raw Data'!$G:$G,'Raw Data'!AE:AE),"")</f>
        <v>32.46</v>
      </c>
      <c r="M95" s="104">
        <f>IFERROR(_xlfn.XLOOKUP($A95,'Raw Data'!$G:$G,'Raw Data'!AF:AF),"")</f>
        <v>0</v>
      </c>
      <c r="N95" s="104">
        <f>IFERROR(_xlfn.XLOOKUP($A95,'Raw Data'!$G:$G,'Raw Data'!AG:AG),"")</f>
        <v>0</v>
      </c>
      <c r="O95" s="105">
        <f>IFERROR(1-SUMIF('Plant BD'!$B:$B,$A95,'Plant BD'!$AM:$AM)/($AA95+SUMIF('Plant BD'!$B:$B,$A95,'Plant BD'!$AM:$AM)),"")</f>
        <v>1</v>
      </c>
      <c r="P95" s="105"/>
      <c r="Q95" s="106"/>
      <c r="R95" s="105">
        <f>IFERROR(1-SUMIF('Grid BD'!$B:$B,$A95,'Grid BD'!$AE:$AE)/($AA95+SUMIF('Grid BD'!$B:$B,$A95,'Grid BD'!$AE:$AE)),"")</f>
        <v>1</v>
      </c>
      <c r="T95" s="106"/>
      <c r="U95" s="107">
        <f t="shared" si="5"/>
        <v>0.85162129321717761</v>
      </c>
      <c r="V95" s="107"/>
      <c r="W95" s="108">
        <f t="shared" si="6"/>
        <v>0.11532371678982611</v>
      </c>
      <c r="X95" s="101">
        <f>IFERROR(_xlfn.XLOOKUP($A95,'Raw Data'!$G:$G,'Raw Data'!AI:AI),"")</f>
        <v>22528.899999999998</v>
      </c>
      <c r="Y95" s="101">
        <f>IFERROR(_xlfn.XLOOKUP($A95,'Raw Data'!$G:$G,'Raw Data'!AJ:AJ),"")</f>
        <v>22299.999999988358</v>
      </c>
      <c r="Z95" s="101">
        <f>IFERROR(_xlfn.XLOOKUP($A95,'Raw Data'!$G:$G,'Raw Data'!AK:AK),"")</f>
        <v>99.999999999965894</v>
      </c>
      <c r="AA95" s="101">
        <f>IFERROR(_xlfn.XLOOKUP($A95,'Raw Data'!$G:$G,'Raw Data'!$AL:$AL)*(1+(_xlfn.XLOOKUP(Table13[[#This Row],[Month Year]],JMR!$A:$A,JMR!$J:$J))),"")</f>
        <v>22199.999999988391</v>
      </c>
      <c r="AB95" s="101">
        <f>IFERROR(_xlfn.XLOOKUP($A95,'Raw Data'!$G:$G,'Raw Data'!H:H),"")</f>
        <v>8.0208999999999993</v>
      </c>
      <c r="AC95" s="67">
        <f>IFERROR(_xlfn.XLOOKUP($D95,'Modelling New'!$D:$D,'Modelling New'!P:P),"")</f>
        <v>4.7600000000000007</v>
      </c>
      <c r="AD95" s="101">
        <f>IFERROR(_xlfn.XLOOKUP($D95,'Modelling New'!$D:$D,'Modelling New'!$T:$T)*1000,"")</f>
        <v>25919.748311299463</v>
      </c>
      <c r="AE95" s="109">
        <f>IFERROR(_xlfn.XLOOKUP($D95,'Modelling New'!$D:$D,'Modelling New'!O:O),"")</f>
        <v>0.67889205394445518</v>
      </c>
      <c r="AF95" s="108">
        <f>IFERROR(_xlfn.XLOOKUP($D95,'Modelling New'!$D:$D,'Modelling New'!W:W),"")</f>
        <v>0.13464692403231696</v>
      </c>
      <c r="AG95" s="108">
        <f>IFERROR(_xlfn.XLOOKUP($D95,'Modelling New'!$D:$D,'Modelling New'!AE:AE),"")</f>
        <v>0.98040000000000005</v>
      </c>
      <c r="AH95" s="128">
        <f>IFERROR(_xlfn.XLOOKUP($D95,'Modelling New'!$D:$D,'Modelling New'!AF:AF),"")</f>
        <v>0.98</v>
      </c>
      <c r="AN95" s="105"/>
      <c r="AO95" s="108"/>
      <c r="AP95" s="108"/>
      <c r="AQ95" s="108"/>
      <c r="AR95" s="101">
        <f>'Basic Data'!$B$98/1000</f>
        <v>8.0208999999999993</v>
      </c>
      <c r="AT95" s="7">
        <f>IFERROR(_xlfn.XLOOKUP(Table13[[#This Row],[Date]],'Raw Data'!$G:$G,'Raw Data'!$AN:$AN),"")</f>
        <v>0</v>
      </c>
      <c r="AU95" s="7">
        <f>IFERROR(_xlfn.XLOOKUP(Table13[[#This Row],[Month Year]],'Modelling New'!$D:$D,'Modelling New'!$AO:$AO),"")</f>
        <v>8</v>
      </c>
      <c r="AV95" s="7">
        <f>SUMIF('Curtailment Records'!$C:$C,Table13[[#This Row],[Date]],'Curtailment Records'!$R:$R)/1000</f>
        <v>0</v>
      </c>
    </row>
    <row r="96" spans="1:48" x14ac:dyDescent="0.3">
      <c r="A96" s="100">
        <f t="shared" si="7"/>
        <v>45839</v>
      </c>
      <c r="B96" s="101">
        <f>YEAR(Table13[[#This Row],[Date]])+IF(MONTH(Table13[[#This Row],[Date]])&gt;=4,1,0)</f>
        <v>2026</v>
      </c>
      <c r="C96" s="7">
        <f>YEAR(Table13[[#This Row],[Date]])</f>
        <v>2025</v>
      </c>
      <c r="D96" s="102">
        <f>Table13[[#This Row],[Date]]-DAY(Table13[[#This Row],[Date]])+1</f>
        <v>45839</v>
      </c>
      <c r="E96" s="7">
        <f t="shared" si="4"/>
        <v>31</v>
      </c>
      <c r="F96" s="103">
        <f>IFERROR(_xlfn.XLOOKUP($A96,'Raw Data'!$G:$G,'Raw Data'!$AM:$AM),"")</f>
        <v>11.633333333333335</v>
      </c>
      <c r="G96" s="104">
        <f>IFERROR(_xlfn.XLOOKUP($A96,'Raw Data'!$G:$G,'Raw Data'!$AB:$AB),"")</f>
        <v>0</v>
      </c>
      <c r="H96" s="104"/>
      <c r="I96" s="104">
        <f>IFERROR(_xlfn.XLOOKUP($A96,'Raw Data'!$G:$G,'Raw Data'!$AC:$AC),"")</f>
        <v>2.5299999999999998</v>
      </c>
      <c r="J96" s="104"/>
      <c r="K96" s="104">
        <f>IFERROR(_xlfn.XLOOKUP($A96,'Raw Data'!$G:$G,'Raw Data'!AD:AD),"")</f>
        <v>0</v>
      </c>
      <c r="L96" s="104">
        <f>IFERROR(_xlfn.XLOOKUP($A96,'Raw Data'!$G:$G,'Raw Data'!AE:AE),"")</f>
        <v>29.75</v>
      </c>
      <c r="M96" s="104">
        <f>IFERROR(_xlfn.XLOOKUP($A96,'Raw Data'!$G:$G,'Raw Data'!AF:AF),"")</f>
        <v>0</v>
      </c>
      <c r="N96" s="104">
        <f>IFERROR(_xlfn.XLOOKUP($A96,'Raw Data'!$G:$G,'Raw Data'!AG:AG),"")</f>
        <v>0</v>
      </c>
      <c r="O96" s="105">
        <f>IFERROR(1-SUMIF('Plant BD'!$B:$B,$A96,'Plant BD'!$AM:$AM)/($AA96+SUMIF('Plant BD'!$B:$B,$A96,'Plant BD'!$AM:$AM)),"")</f>
        <v>1</v>
      </c>
      <c r="P96" s="105"/>
      <c r="Q96" s="106"/>
      <c r="R96" s="105">
        <f>IFERROR(1-SUMIF('Grid BD'!$B:$B,$A96,'Grid BD'!$AE:$AE)/($AA96+SUMIF('Grid BD'!$B:$B,$A96,'Grid BD'!$AE:$AE)),"")</f>
        <v>1</v>
      </c>
      <c r="T96" s="106"/>
      <c r="U96" s="107">
        <f t="shared" si="5"/>
        <v>0.86237156022804473</v>
      </c>
      <c r="V96" s="107"/>
      <c r="W96" s="108">
        <f t="shared" si="6"/>
        <v>9.0908335307373023E-2</v>
      </c>
      <c r="X96" s="101">
        <f>IFERROR(_xlfn.XLOOKUP($A96,'Raw Data'!$G:$G,'Raw Data'!AI:AI),"")</f>
        <v>17757.7</v>
      </c>
      <c r="Y96" s="101">
        <f>IFERROR(_xlfn.XLOOKUP($A96,'Raw Data'!$G:$G,'Raw Data'!AJ:AJ),"")</f>
        <v>17600.000000005821</v>
      </c>
      <c r="Z96" s="101">
        <f>IFERROR(_xlfn.XLOOKUP($A96,'Raw Data'!$G:$G,'Raw Data'!AK:AK),"")</f>
        <v>100.00000000002274</v>
      </c>
      <c r="AA96" s="101">
        <f>IFERROR(_xlfn.XLOOKUP($A96,'Raw Data'!$G:$G,'Raw Data'!$AL:$AL)*(1+(_xlfn.XLOOKUP(Table13[[#This Row],[Month Year]],JMR!$A:$A,JMR!$J:$J))),"")</f>
        <v>17500.000000005799</v>
      </c>
      <c r="AB96" s="101">
        <f>IFERROR(_xlfn.XLOOKUP($A96,'Raw Data'!$G:$G,'Raw Data'!H:H),"")</f>
        <v>8.0208999999999993</v>
      </c>
      <c r="AC96" s="67">
        <f>IFERROR(_xlfn.XLOOKUP($D96,'Modelling New'!$D:$D,'Modelling New'!P:P),"")</f>
        <v>4.0451612903225804</v>
      </c>
      <c r="AD96" s="101">
        <f>IFERROR(_xlfn.XLOOKUP($D96,'Modelling New'!$D:$D,'Modelling New'!$T:$T)*1000,"")</f>
        <v>22929.949138521675</v>
      </c>
      <c r="AE96" s="109">
        <f>IFERROR(_xlfn.XLOOKUP($D96,'Modelling New'!$D:$D,'Modelling New'!O:O),"")</f>
        <v>0.70671473575739119</v>
      </c>
      <c r="AF96" s="108">
        <f>IFERROR(_xlfn.XLOOKUP($D96,'Modelling New'!$D:$D,'Modelling New'!W:W),"")</f>
        <v>0.11911562884943125</v>
      </c>
      <c r="AG96" s="108">
        <f>IFERROR(_xlfn.XLOOKUP($D96,'Modelling New'!$D:$D,'Modelling New'!AE:AE),"")</f>
        <v>0.98040000000000005</v>
      </c>
      <c r="AH96" s="128">
        <f>IFERROR(_xlfn.XLOOKUP($D96,'Modelling New'!$D:$D,'Modelling New'!AF:AF),"")</f>
        <v>0.98</v>
      </c>
      <c r="AN96" s="105"/>
      <c r="AO96" s="108"/>
      <c r="AP96" s="108"/>
      <c r="AQ96" s="108"/>
      <c r="AR96" s="101">
        <f>'Basic Data'!$B$98/1000</f>
        <v>8.0208999999999993</v>
      </c>
      <c r="AT96" s="7">
        <f>IFERROR(_xlfn.XLOOKUP(Table13[[#This Row],[Date]],'Raw Data'!$G:$G,'Raw Data'!$AN:$AN),"")</f>
        <v>0</v>
      </c>
      <c r="AU96" s="7">
        <f>IFERROR(_xlfn.XLOOKUP(Table13[[#This Row],[Month Year]],'Modelling New'!$D:$D,'Modelling New'!$AO:$AO),"")</f>
        <v>8</v>
      </c>
      <c r="AV96" s="7">
        <f>SUMIF('Curtailment Records'!$C:$C,Table13[[#This Row],[Date]],'Curtailment Records'!$R:$R)/1000</f>
        <v>0</v>
      </c>
    </row>
    <row r="97" spans="1:48" x14ac:dyDescent="0.3">
      <c r="A97" s="100">
        <f t="shared" si="7"/>
        <v>45840</v>
      </c>
      <c r="B97" s="101">
        <f>YEAR(Table13[[#This Row],[Date]])+IF(MONTH(Table13[[#This Row],[Date]])&gt;=4,1,0)</f>
        <v>2026</v>
      </c>
      <c r="C97" s="7">
        <f>YEAR(Table13[[#This Row],[Date]])</f>
        <v>2025</v>
      </c>
      <c r="D97" s="102">
        <f>Table13[[#This Row],[Date]]-DAY(Table13[[#This Row],[Date]])+1</f>
        <v>45839</v>
      </c>
      <c r="E97" s="7">
        <f t="shared" si="4"/>
        <v>31</v>
      </c>
      <c r="F97" s="103">
        <f>IFERROR(_xlfn.XLOOKUP($A97,'Raw Data'!$G:$G,'Raw Data'!$AM:$AM),"")</f>
        <v>12.416666666666668</v>
      </c>
      <c r="G97" s="104">
        <f>IFERROR(_xlfn.XLOOKUP($A97,'Raw Data'!$G:$G,'Raw Data'!$AB:$AB),"")</f>
        <v>0</v>
      </c>
      <c r="H97" s="104"/>
      <c r="I97" s="104">
        <f>IFERROR(_xlfn.XLOOKUP($A97,'Raw Data'!$G:$G,'Raw Data'!$AC:$AC),"")</f>
        <v>1.5</v>
      </c>
      <c r="J97" s="104"/>
      <c r="K97" s="104">
        <f>IFERROR(_xlfn.XLOOKUP($A97,'Raw Data'!$G:$G,'Raw Data'!AD:AD),"")</f>
        <v>0</v>
      </c>
      <c r="L97" s="104">
        <f>IFERROR(_xlfn.XLOOKUP($A97,'Raw Data'!$G:$G,'Raw Data'!AE:AE),"")</f>
        <v>27.01</v>
      </c>
      <c r="M97" s="104">
        <f>IFERROR(_xlfn.XLOOKUP($A97,'Raw Data'!$G:$G,'Raw Data'!AF:AF),"")</f>
        <v>0</v>
      </c>
      <c r="N97" s="104">
        <f>IFERROR(_xlfn.XLOOKUP($A97,'Raw Data'!$G:$G,'Raw Data'!AG:AG),"")</f>
        <v>0</v>
      </c>
      <c r="O97" s="105">
        <f>IFERROR(1-SUMIF('Plant BD'!$B:$B,$A97,'Plant BD'!$AM:$AM)/($AA97+SUMIF('Plant BD'!$B:$B,$A97,'Plant BD'!$AM:$AM)),"")</f>
        <v>1</v>
      </c>
      <c r="P97" s="105"/>
      <c r="Q97" s="106"/>
      <c r="R97" s="105">
        <f>IFERROR(1-SUMIF('Grid BD'!$B:$B,$A97,'Grid BD'!$AE:$AE)/($AA97+SUMIF('Grid BD'!$B:$B,$A97,'Grid BD'!$AE:$AE)),"")</f>
        <v>1</v>
      </c>
      <c r="T97" s="106"/>
      <c r="U97" s="107">
        <f t="shared" si="5"/>
        <v>0.88518744779264003</v>
      </c>
      <c r="V97" s="107"/>
      <c r="W97" s="108">
        <f t="shared" si="6"/>
        <v>5.5324215487039995E-2</v>
      </c>
      <c r="X97" s="101">
        <f>IFERROR(_xlfn.XLOOKUP($A97,'Raw Data'!$G:$G,'Raw Data'!AI:AI),"")</f>
        <v>10880.5</v>
      </c>
      <c r="Y97" s="101">
        <f>IFERROR(_xlfn.XLOOKUP($A97,'Raw Data'!$G:$G,'Raw Data'!AJ:AJ),"")</f>
        <v>10750</v>
      </c>
      <c r="Z97" s="101">
        <f>IFERROR(_xlfn.XLOOKUP($A97,'Raw Data'!$G:$G,'Raw Data'!AK:AK),"")</f>
        <v>100.00000000002274</v>
      </c>
      <c r="AA97" s="101">
        <f>IFERROR(_xlfn.XLOOKUP($A97,'Raw Data'!$G:$G,'Raw Data'!$AL:$AL)*(1+(_xlfn.XLOOKUP(Table13[[#This Row],[Month Year]],JMR!$A:$A,JMR!$J:$J))),"")</f>
        <v>10649.999999999978</v>
      </c>
      <c r="AB97" s="101">
        <f>IFERROR(_xlfn.XLOOKUP($A97,'Raw Data'!$G:$G,'Raw Data'!H:H),"")</f>
        <v>8.0208999999999993</v>
      </c>
      <c r="AC97" s="67">
        <f>IFERROR(_xlfn.XLOOKUP($D97,'Modelling New'!$D:$D,'Modelling New'!P:P),"")</f>
        <v>4.0451612903225804</v>
      </c>
      <c r="AD97" s="101">
        <f>IFERROR(_xlfn.XLOOKUP($D97,'Modelling New'!$D:$D,'Modelling New'!$T:$T)*1000,"")</f>
        <v>22929.949138521675</v>
      </c>
      <c r="AE97" s="109">
        <f>IFERROR(_xlfn.XLOOKUP($D97,'Modelling New'!$D:$D,'Modelling New'!O:O),"")</f>
        <v>0.70671473575739119</v>
      </c>
      <c r="AF97" s="108">
        <f>IFERROR(_xlfn.XLOOKUP($D97,'Modelling New'!$D:$D,'Modelling New'!W:W),"")</f>
        <v>0.11911562884943125</v>
      </c>
      <c r="AG97" s="108">
        <f>IFERROR(_xlfn.XLOOKUP($D97,'Modelling New'!$D:$D,'Modelling New'!AE:AE),"")</f>
        <v>0.98040000000000005</v>
      </c>
      <c r="AH97" s="128">
        <f>IFERROR(_xlfn.XLOOKUP($D97,'Modelling New'!$D:$D,'Modelling New'!AF:AF),"")</f>
        <v>0.98</v>
      </c>
      <c r="AN97" s="105"/>
      <c r="AO97" s="108"/>
      <c r="AP97" s="108"/>
      <c r="AQ97" s="108"/>
      <c r="AR97" s="101">
        <f>'Basic Data'!$B$98/1000</f>
        <v>8.0208999999999993</v>
      </c>
      <c r="AT97" s="7">
        <f>IFERROR(_xlfn.XLOOKUP(Table13[[#This Row],[Date]],'Raw Data'!$G:$G,'Raw Data'!$AN:$AN),"")</f>
        <v>0</v>
      </c>
      <c r="AU97" s="7">
        <f>IFERROR(_xlfn.XLOOKUP(Table13[[#This Row],[Month Year]],'Modelling New'!$D:$D,'Modelling New'!$AO:$AO),"")</f>
        <v>8</v>
      </c>
      <c r="AV97" s="7">
        <f>SUMIF('Curtailment Records'!$C:$C,Table13[[#This Row],[Date]],'Curtailment Records'!$R:$R)/1000</f>
        <v>0</v>
      </c>
    </row>
    <row r="98" spans="1:48" x14ac:dyDescent="0.3">
      <c r="A98" s="100">
        <f t="shared" si="7"/>
        <v>45841</v>
      </c>
      <c r="B98" s="101">
        <f>YEAR(Table13[[#This Row],[Date]])+IF(MONTH(Table13[[#This Row],[Date]])&gt;=4,1,0)</f>
        <v>2026</v>
      </c>
      <c r="C98" s="7">
        <f>YEAR(Table13[[#This Row],[Date]])</f>
        <v>2025</v>
      </c>
      <c r="D98" s="102">
        <f>Table13[[#This Row],[Date]]-DAY(Table13[[#This Row],[Date]])+1</f>
        <v>45839</v>
      </c>
      <c r="E98" s="7">
        <f t="shared" si="4"/>
        <v>31</v>
      </c>
      <c r="F98" s="103">
        <f>IFERROR(_xlfn.XLOOKUP($A98,'Raw Data'!$G:$G,'Raw Data'!$AM:$AM),"")</f>
        <v>12.133333333333333</v>
      </c>
      <c r="G98" s="104">
        <f>IFERROR(_xlfn.XLOOKUP($A98,'Raw Data'!$G:$G,'Raw Data'!$AB:$AB),"")</f>
        <v>0</v>
      </c>
      <c r="H98" s="104"/>
      <c r="I98" s="104">
        <f>IFERROR(_xlfn.XLOOKUP($A98,'Raw Data'!$G:$G,'Raw Data'!$AC:$AC),"")</f>
        <v>2.68</v>
      </c>
      <c r="J98" s="104"/>
      <c r="K98" s="104">
        <f>IFERROR(_xlfn.XLOOKUP($A98,'Raw Data'!$G:$G,'Raw Data'!AD:AD),"")</f>
        <v>0</v>
      </c>
      <c r="L98" s="104">
        <f>IFERROR(_xlfn.XLOOKUP($A98,'Raw Data'!$G:$G,'Raw Data'!AE:AE),"")</f>
        <v>31.01</v>
      </c>
      <c r="M98" s="104">
        <f>IFERROR(_xlfn.XLOOKUP($A98,'Raw Data'!$G:$G,'Raw Data'!AF:AF),"")</f>
        <v>0</v>
      </c>
      <c r="N98" s="104">
        <f>IFERROR(_xlfn.XLOOKUP($A98,'Raw Data'!$G:$G,'Raw Data'!AG:AG),"")</f>
        <v>0</v>
      </c>
      <c r="O98" s="105">
        <f>IFERROR(1-SUMIF('Plant BD'!$B:$B,$A98,'Plant BD'!$AM:$AM)/($AA98+SUMIF('Plant BD'!$B:$B,$A98,'Plant BD'!$AM:$AM)),"")</f>
        <v>1</v>
      </c>
      <c r="P98" s="105"/>
      <c r="Q98" s="106"/>
      <c r="R98" s="105">
        <f>IFERROR(1-SUMIF('Grid BD'!$B:$B,$A98,'Grid BD'!$AE:$AE)/($AA98+SUMIF('Grid BD'!$B:$B,$A98,'Grid BD'!$AE:$AE)),"")</f>
        <v>0.98125097881492651</v>
      </c>
      <c r="T98" s="106"/>
      <c r="U98" s="107">
        <f t="shared" si="5"/>
        <v>0.82806057235147679</v>
      </c>
      <c r="V98" s="107"/>
      <c r="W98" s="108">
        <f t="shared" si="6"/>
        <v>9.2466763912581559E-2</v>
      </c>
      <c r="X98" s="101">
        <f>IFERROR(_xlfn.XLOOKUP($A98,'Raw Data'!$G:$G,'Raw Data'!AI:AI),"")</f>
        <v>18071.099999999999</v>
      </c>
      <c r="Y98" s="101">
        <f>IFERROR(_xlfn.XLOOKUP($A98,'Raw Data'!$G:$G,'Raw Data'!AJ:AJ),"")</f>
        <v>17899.999999994179</v>
      </c>
      <c r="Z98" s="101">
        <f>IFERROR(_xlfn.XLOOKUP($A98,'Raw Data'!$G:$G,'Raw Data'!AK:AK),"")</f>
        <v>99.999999999965894</v>
      </c>
      <c r="AA98" s="101">
        <f>IFERROR(_xlfn.XLOOKUP($A98,'Raw Data'!$G:$G,'Raw Data'!$AL:$AL)*(1+(_xlfn.XLOOKUP(Table13[[#This Row],[Month Year]],JMR!$A:$A,JMR!$J:$J))),"")</f>
        <v>17799.999999994212</v>
      </c>
      <c r="AB98" s="101">
        <f>IFERROR(_xlfn.XLOOKUP($A98,'Raw Data'!$G:$G,'Raw Data'!H:H),"")</f>
        <v>8.0208999999999993</v>
      </c>
      <c r="AC98" s="67">
        <f>IFERROR(_xlfn.XLOOKUP($D98,'Modelling New'!$D:$D,'Modelling New'!P:P),"")</f>
        <v>4.0451612903225804</v>
      </c>
      <c r="AD98" s="101">
        <f>IFERROR(_xlfn.XLOOKUP($D98,'Modelling New'!$D:$D,'Modelling New'!$T:$T)*1000,"")</f>
        <v>22929.949138521675</v>
      </c>
      <c r="AE98" s="109">
        <f>IFERROR(_xlfn.XLOOKUP($D98,'Modelling New'!$D:$D,'Modelling New'!O:O),"")</f>
        <v>0.70671473575739119</v>
      </c>
      <c r="AF98" s="108">
        <f>IFERROR(_xlfn.XLOOKUP($D98,'Modelling New'!$D:$D,'Modelling New'!W:W),"")</f>
        <v>0.11911562884943125</v>
      </c>
      <c r="AG98" s="108">
        <f>IFERROR(_xlfn.XLOOKUP($D98,'Modelling New'!$D:$D,'Modelling New'!AE:AE),"")</f>
        <v>0.98040000000000005</v>
      </c>
      <c r="AH98" s="128">
        <f>IFERROR(_xlfn.XLOOKUP($D98,'Modelling New'!$D:$D,'Modelling New'!AF:AF),"")</f>
        <v>0.98</v>
      </c>
      <c r="AN98" s="105"/>
      <c r="AO98" s="108"/>
      <c r="AP98" s="108"/>
      <c r="AQ98" s="108"/>
      <c r="AR98" s="101">
        <f>'Basic Data'!$B$98/1000</f>
        <v>8.0208999999999993</v>
      </c>
      <c r="AT98" s="7">
        <f>IFERROR(_xlfn.XLOOKUP(Table13[[#This Row],[Date]],'Raw Data'!$G:$G,'Raw Data'!$AN:$AN),"")</f>
        <v>0</v>
      </c>
      <c r="AU98" s="7">
        <f>IFERROR(_xlfn.XLOOKUP(Table13[[#This Row],[Month Year]],'Modelling New'!$D:$D,'Modelling New'!$AO:$AO),"")</f>
        <v>8</v>
      </c>
      <c r="AV98" s="7">
        <f>SUMIF('Curtailment Records'!$C:$C,Table13[[#This Row],[Date]],'Curtailment Records'!$R:$R)/1000</f>
        <v>0</v>
      </c>
    </row>
    <row r="99" spans="1:48" x14ac:dyDescent="0.3">
      <c r="A99" s="100">
        <f t="shared" si="7"/>
        <v>45842</v>
      </c>
      <c r="B99" s="101">
        <f>YEAR(Table13[[#This Row],[Date]])+IF(MONTH(Table13[[#This Row],[Date]])&gt;=4,1,0)</f>
        <v>2026</v>
      </c>
      <c r="C99" s="7">
        <f>YEAR(Table13[[#This Row],[Date]])</f>
        <v>2025</v>
      </c>
      <c r="D99" s="102">
        <f>Table13[[#This Row],[Date]]-DAY(Table13[[#This Row],[Date]])+1</f>
        <v>45839</v>
      </c>
      <c r="E99" s="7">
        <f t="shared" si="4"/>
        <v>31</v>
      </c>
      <c r="F99" s="103">
        <f>IFERROR(_xlfn.XLOOKUP($A99,'Raw Data'!$G:$G,'Raw Data'!$AM:$AM),"")</f>
        <v>12.416666666666668</v>
      </c>
      <c r="G99" s="104">
        <f>IFERROR(_xlfn.XLOOKUP($A99,'Raw Data'!$G:$G,'Raw Data'!$AB:$AB),"")</f>
        <v>0</v>
      </c>
      <c r="H99" s="104"/>
      <c r="I99" s="104">
        <f>IFERROR(_xlfn.XLOOKUP($A99,'Raw Data'!$G:$G,'Raw Data'!$AC:$AC),"")</f>
        <v>4.76</v>
      </c>
      <c r="J99" s="104"/>
      <c r="K99" s="104">
        <f>IFERROR(_xlfn.XLOOKUP($A99,'Raw Data'!$G:$G,'Raw Data'!AD:AD),"")</f>
        <v>0</v>
      </c>
      <c r="L99" s="104">
        <f>IFERROR(_xlfn.XLOOKUP($A99,'Raw Data'!$G:$G,'Raw Data'!AE:AE),"")</f>
        <v>35.32</v>
      </c>
      <c r="M99" s="104">
        <f>IFERROR(_xlfn.XLOOKUP($A99,'Raw Data'!$G:$G,'Raw Data'!AF:AF),"")</f>
        <v>0</v>
      </c>
      <c r="N99" s="104">
        <f>IFERROR(_xlfn.XLOOKUP($A99,'Raw Data'!$G:$G,'Raw Data'!AG:AG),"")</f>
        <v>0</v>
      </c>
      <c r="O99" s="105">
        <f>IFERROR(1-SUMIF('Plant BD'!$B:$B,$A99,'Plant BD'!$AM:$AM)/($AA99+SUMIF('Plant BD'!$B:$B,$A99,'Plant BD'!$AM:$AM)),"")</f>
        <v>1</v>
      </c>
      <c r="P99" s="105"/>
      <c r="Q99" s="106"/>
      <c r="R99" s="105">
        <f>IFERROR(1-SUMIF('Grid BD'!$B:$B,$A99,'Grid BD'!$AE:$AE)/($AA99+SUMIF('Grid BD'!$B:$B,$A99,'Grid BD'!$AE:$AE)),"")</f>
        <v>1</v>
      </c>
      <c r="T99" s="106"/>
      <c r="U99" s="107">
        <f t="shared" si="5"/>
        <v>0.81064479551381297</v>
      </c>
      <c r="V99" s="107"/>
      <c r="W99" s="108">
        <f t="shared" si="6"/>
        <v>0.16077788444357288</v>
      </c>
      <c r="X99" s="101">
        <f>IFERROR(_xlfn.XLOOKUP($A99,'Raw Data'!$G:$G,'Raw Data'!AI:AI),"")</f>
        <v>31337.8</v>
      </c>
      <c r="Y99" s="101">
        <f>IFERROR(_xlfn.XLOOKUP($A99,'Raw Data'!$G:$G,'Raw Data'!AJ:AJ),"")</f>
        <v>31050.00000000291</v>
      </c>
      <c r="Z99" s="101">
        <f>IFERROR(_xlfn.XLOOKUP($A99,'Raw Data'!$G:$G,'Raw Data'!AK:AK),"")</f>
        <v>100.00000000002274</v>
      </c>
      <c r="AA99" s="101">
        <f>IFERROR(_xlfn.XLOOKUP($A99,'Raw Data'!$G:$G,'Raw Data'!$AL:$AL)*(1+(_xlfn.XLOOKUP(Table13[[#This Row],[Month Year]],JMR!$A:$A,JMR!$J:$J))),"")</f>
        <v>30950.000000002889</v>
      </c>
      <c r="AB99" s="101">
        <f>IFERROR(_xlfn.XLOOKUP($A99,'Raw Data'!$G:$G,'Raw Data'!H:H),"")</f>
        <v>8.0208999999999993</v>
      </c>
      <c r="AC99" s="67">
        <f>IFERROR(_xlfn.XLOOKUP($D99,'Modelling New'!$D:$D,'Modelling New'!P:P),"")</f>
        <v>4.0451612903225804</v>
      </c>
      <c r="AD99" s="101">
        <f>IFERROR(_xlfn.XLOOKUP($D99,'Modelling New'!$D:$D,'Modelling New'!$T:$T)*1000,"")</f>
        <v>22929.949138521675</v>
      </c>
      <c r="AE99" s="109">
        <f>IFERROR(_xlfn.XLOOKUP($D99,'Modelling New'!$D:$D,'Modelling New'!O:O),"")</f>
        <v>0.70671473575739119</v>
      </c>
      <c r="AF99" s="108">
        <f>IFERROR(_xlfn.XLOOKUP($D99,'Modelling New'!$D:$D,'Modelling New'!W:W),"")</f>
        <v>0.11911562884943125</v>
      </c>
      <c r="AG99" s="108">
        <f>IFERROR(_xlfn.XLOOKUP($D99,'Modelling New'!$D:$D,'Modelling New'!AE:AE),"")</f>
        <v>0.98040000000000005</v>
      </c>
      <c r="AH99" s="128">
        <f>IFERROR(_xlfn.XLOOKUP($D99,'Modelling New'!$D:$D,'Modelling New'!AF:AF),"")</f>
        <v>0.98</v>
      </c>
      <c r="AN99" s="105"/>
      <c r="AO99" s="108"/>
      <c r="AP99" s="108"/>
      <c r="AQ99" s="108"/>
      <c r="AR99" s="101">
        <f>'Basic Data'!$B$98/1000</f>
        <v>8.0208999999999993</v>
      </c>
      <c r="AT99" s="7">
        <f>IFERROR(_xlfn.XLOOKUP(Table13[[#This Row],[Date]],'Raw Data'!$G:$G,'Raw Data'!$AN:$AN),"")</f>
        <v>0</v>
      </c>
      <c r="AU99" s="7">
        <f>IFERROR(_xlfn.XLOOKUP(Table13[[#This Row],[Month Year]],'Modelling New'!$D:$D,'Modelling New'!$AO:$AO),"")</f>
        <v>8</v>
      </c>
      <c r="AV99" s="7">
        <f>SUMIF('Curtailment Records'!$C:$C,Table13[[#This Row],[Date]],'Curtailment Records'!$R:$R)/1000</f>
        <v>0</v>
      </c>
    </row>
    <row r="100" spans="1:48" x14ac:dyDescent="0.3">
      <c r="A100" s="100">
        <f t="shared" si="7"/>
        <v>45843</v>
      </c>
      <c r="B100" s="101">
        <f>YEAR(Table13[[#This Row],[Date]])+IF(MONTH(Table13[[#This Row],[Date]])&gt;=4,1,0)</f>
        <v>2026</v>
      </c>
      <c r="C100" s="7">
        <f>YEAR(Table13[[#This Row],[Date]])</f>
        <v>2025</v>
      </c>
      <c r="D100" s="102">
        <f>Table13[[#This Row],[Date]]-DAY(Table13[[#This Row],[Date]])+1</f>
        <v>45839</v>
      </c>
      <c r="E100" s="7">
        <f t="shared" si="4"/>
        <v>31</v>
      </c>
      <c r="F100" s="103">
        <f>IFERROR(_xlfn.XLOOKUP($A100,'Raw Data'!$G:$G,'Raw Data'!$AM:$AM),"")</f>
        <v>12.733333333333334</v>
      </c>
      <c r="G100" s="104">
        <f>IFERROR(_xlfn.XLOOKUP($A100,'Raw Data'!$G:$G,'Raw Data'!$AB:$AB),"")</f>
        <v>0</v>
      </c>
      <c r="H100" s="104"/>
      <c r="I100" s="104">
        <f>IFERROR(_xlfn.XLOOKUP($A100,'Raw Data'!$G:$G,'Raw Data'!$AC:$AC),"")</f>
        <v>4.5999999999999996</v>
      </c>
      <c r="J100" s="104"/>
      <c r="K100" s="104">
        <f>IFERROR(_xlfn.XLOOKUP($A100,'Raw Data'!$G:$G,'Raw Data'!AD:AD),"")</f>
        <v>0</v>
      </c>
      <c r="L100" s="104">
        <f>IFERROR(_xlfn.XLOOKUP($A100,'Raw Data'!$G:$G,'Raw Data'!AE:AE),"")</f>
        <v>33.96</v>
      </c>
      <c r="M100" s="104">
        <f>IFERROR(_xlfn.XLOOKUP($A100,'Raw Data'!$G:$G,'Raw Data'!AF:AF),"")</f>
        <v>0</v>
      </c>
      <c r="N100" s="104">
        <f>IFERROR(_xlfn.XLOOKUP($A100,'Raw Data'!$G:$G,'Raw Data'!AG:AG),"")</f>
        <v>0</v>
      </c>
      <c r="O100" s="105">
        <f>IFERROR(1-SUMIF('Plant BD'!$B:$B,$A100,'Plant BD'!$AM:$AM)/($AA100+SUMIF('Plant BD'!$B:$B,$A100,'Plant BD'!$AM:$AM)),"")</f>
        <v>1</v>
      </c>
      <c r="P100" s="105"/>
      <c r="Q100" s="106"/>
      <c r="R100" s="105">
        <f>IFERROR(1-SUMIF('Grid BD'!$B:$B,$A100,'Grid BD'!$AE:$AE)/($AA100+SUMIF('Grid BD'!$B:$B,$A100,'Grid BD'!$AE:$AE)),"")</f>
        <v>1</v>
      </c>
      <c r="T100" s="106"/>
      <c r="U100" s="107">
        <f t="shared" si="5"/>
        <v>0.7954761663414418</v>
      </c>
      <c r="V100" s="107"/>
      <c r="W100" s="108">
        <f t="shared" si="6"/>
        <v>0.15246626521544299</v>
      </c>
      <c r="X100" s="101">
        <f>IFERROR(_xlfn.XLOOKUP($A100,'Raw Data'!$G:$G,'Raw Data'!AI:AI),"")</f>
        <v>29714.199999999997</v>
      </c>
      <c r="Y100" s="101">
        <f>IFERROR(_xlfn.XLOOKUP($A100,'Raw Data'!$G:$G,'Raw Data'!AJ:AJ),"")</f>
        <v>29449.99999999709</v>
      </c>
      <c r="Z100" s="101">
        <f>IFERROR(_xlfn.XLOOKUP($A100,'Raw Data'!$G:$G,'Raw Data'!AK:AK),"")</f>
        <v>99.999999999965894</v>
      </c>
      <c r="AA100" s="101">
        <f>IFERROR(_xlfn.XLOOKUP($A100,'Raw Data'!$G:$G,'Raw Data'!$AL:$AL)*(1+(_xlfn.XLOOKUP(Table13[[#This Row],[Month Year]],JMR!$A:$A,JMR!$J:$J))),"")</f>
        <v>29349.999999997122</v>
      </c>
      <c r="AB100" s="101">
        <f>IFERROR(_xlfn.XLOOKUP($A100,'Raw Data'!$G:$G,'Raw Data'!H:H),"")</f>
        <v>8.0208999999999993</v>
      </c>
      <c r="AC100" s="67">
        <f>IFERROR(_xlfn.XLOOKUP($D100,'Modelling New'!$D:$D,'Modelling New'!P:P),"")</f>
        <v>4.0451612903225804</v>
      </c>
      <c r="AD100" s="101">
        <f>IFERROR(_xlfn.XLOOKUP($D100,'Modelling New'!$D:$D,'Modelling New'!$T:$T)*1000,"")</f>
        <v>22929.949138521675</v>
      </c>
      <c r="AE100" s="109">
        <f>IFERROR(_xlfn.XLOOKUP($D100,'Modelling New'!$D:$D,'Modelling New'!O:O),"")</f>
        <v>0.70671473575739119</v>
      </c>
      <c r="AF100" s="108">
        <f>IFERROR(_xlfn.XLOOKUP($D100,'Modelling New'!$D:$D,'Modelling New'!W:W),"")</f>
        <v>0.11911562884943125</v>
      </c>
      <c r="AG100" s="108">
        <f>IFERROR(_xlfn.XLOOKUP($D100,'Modelling New'!$D:$D,'Modelling New'!AE:AE),"")</f>
        <v>0.98040000000000005</v>
      </c>
      <c r="AH100" s="128">
        <f>IFERROR(_xlfn.XLOOKUP($D100,'Modelling New'!$D:$D,'Modelling New'!AF:AF),"")</f>
        <v>0.98</v>
      </c>
      <c r="AN100" s="105"/>
      <c r="AO100" s="108"/>
      <c r="AP100" s="108"/>
      <c r="AQ100" s="108"/>
      <c r="AR100" s="101">
        <f>'Basic Data'!$B$98/1000</f>
        <v>8.0208999999999993</v>
      </c>
      <c r="AT100" s="7">
        <f>IFERROR(_xlfn.XLOOKUP(Table13[[#This Row],[Date]],'Raw Data'!$G:$G,'Raw Data'!$AN:$AN),"")</f>
        <v>0</v>
      </c>
      <c r="AU100" s="7">
        <f>IFERROR(_xlfn.XLOOKUP(Table13[[#This Row],[Month Year]],'Modelling New'!$D:$D,'Modelling New'!$AO:$AO),"")</f>
        <v>8</v>
      </c>
      <c r="AV100" s="7">
        <f>SUMIF('Curtailment Records'!$C:$C,Table13[[#This Row],[Date]],'Curtailment Records'!$R:$R)/1000</f>
        <v>0</v>
      </c>
    </row>
    <row r="101" spans="1:48" x14ac:dyDescent="0.3">
      <c r="A101" s="100">
        <f t="shared" si="7"/>
        <v>45844</v>
      </c>
      <c r="B101" s="101">
        <f>YEAR(Table13[[#This Row],[Date]])+IF(MONTH(Table13[[#This Row],[Date]])&gt;=4,1,0)</f>
        <v>2026</v>
      </c>
      <c r="C101" s="7">
        <f>YEAR(Table13[[#This Row],[Date]])</f>
        <v>2025</v>
      </c>
      <c r="D101" s="102">
        <f>Table13[[#This Row],[Date]]-DAY(Table13[[#This Row],[Date]])+1</f>
        <v>45839</v>
      </c>
      <c r="E101" s="7">
        <f t="shared" si="4"/>
        <v>31</v>
      </c>
      <c r="F101" s="103">
        <f>IFERROR(_xlfn.XLOOKUP($A101,'Raw Data'!$G:$G,'Raw Data'!$AM:$AM),"")</f>
        <v>12.616666666666667</v>
      </c>
      <c r="G101" s="104">
        <f>IFERROR(_xlfn.XLOOKUP($A101,'Raw Data'!$G:$G,'Raw Data'!$AB:$AB),"")</f>
        <v>0</v>
      </c>
      <c r="H101" s="104"/>
      <c r="I101" s="104">
        <f>IFERROR(_xlfn.XLOOKUP($A101,'Raw Data'!$G:$G,'Raw Data'!$AC:$AC),"")</f>
        <v>5.21</v>
      </c>
      <c r="J101" s="104"/>
      <c r="K101" s="104">
        <f>IFERROR(_xlfn.XLOOKUP($A101,'Raw Data'!$G:$G,'Raw Data'!AD:AD),"")</f>
        <v>0</v>
      </c>
      <c r="L101" s="104">
        <f>IFERROR(_xlfn.XLOOKUP($A101,'Raw Data'!$G:$G,'Raw Data'!AE:AE),"")</f>
        <v>35.729999999999997</v>
      </c>
      <c r="M101" s="104">
        <f>IFERROR(_xlfn.XLOOKUP($A101,'Raw Data'!$G:$G,'Raw Data'!AF:AF),"")</f>
        <v>0</v>
      </c>
      <c r="N101" s="104">
        <f>IFERROR(_xlfn.XLOOKUP($A101,'Raw Data'!$G:$G,'Raw Data'!AG:AG),"")</f>
        <v>0</v>
      </c>
      <c r="O101" s="105">
        <f>IFERROR(1-SUMIF('Plant BD'!$B:$B,$A101,'Plant BD'!$AM:$AM)/($AA101+SUMIF('Plant BD'!$B:$B,$A101,'Plant BD'!$AM:$AM)),"")</f>
        <v>1</v>
      </c>
      <c r="P101" s="105"/>
      <c r="Q101" s="106"/>
      <c r="R101" s="105">
        <f>IFERROR(1-SUMIF('Grid BD'!$B:$B,$A101,'Grid BD'!$AE:$AE)/($AA101+SUMIF('Grid BD'!$B:$B,$A101,'Grid BD'!$AE:$AE)),"")</f>
        <v>0.97752445668379506</v>
      </c>
      <c r="T101" s="106"/>
      <c r="U101" s="107">
        <f t="shared" si="5"/>
        <v>0.76695027714205832</v>
      </c>
      <c r="V101" s="107"/>
      <c r="W101" s="108">
        <f t="shared" si="6"/>
        <v>0.16649212266292179</v>
      </c>
      <c r="X101" s="101">
        <f>IFERROR(_xlfn.XLOOKUP($A101,'Raw Data'!$G:$G,'Raw Data'!AI:AI),"")</f>
        <v>32440.700000000004</v>
      </c>
      <c r="Y101" s="101">
        <f>IFERROR(_xlfn.XLOOKUP($A101,'Raw Data'!$G:$G,'Raw Data'!AJ:AJ),"")</f>
        <v>32150.000000008731</v>
      </c>
      <c r="Z101" s="101">
        <f>IFERROR(_xlfn.XLOOKUP($A101,'Raw Data'!$G:$G,'Raw Data'!AK:AK),"")</f>
        <v>100.00000000002274</v>
      </c>
      <c r="AA101" s="101">
        <f>IFERROR(_xlfn.XLOOKUP($A101,'Raw Data'!$G:$G,'Raw Data'!$AL:$AL)*(1+(_xlfn.XLOOKUP(Table13[[#This Row],[Month Year]],JMR!$A:$A,JMR!$J:$J))),"")</f>
        <v>32050.000000008709</v>
      </c>
      <c r="AB101" s="101">
        <f>IFERROR(_xlfn.XLOOKUP($A101,'Raw Data'!$G:$G,'Raw Data'!H:H),"")</f>
        <v>8.0208999999999993</v>
      </c>
      <c r="AC101" s="67">
        <f>IFERROR(_xlfn.XLOOKUP($D101,'Modelling New'!$D:$D,'Modelling New'!P:P),"")</f>
        <v>4.0451612903225804</v>
      </c>
      <c r="AD101" s="101">
        <f>IFERROR(_xlfn.XLOOKUP($D101,'Modelling New'!$D:$D,'Modelling New'!$T:$T)*1000,"")</f>
        <v>22929.949138521675</v>
      </c>
      <c r="AE101" s="109">
        <f>IFERROR(_xlfn.XLOOKUP($D101,'Modelling New'!$D:$D,'Modelling New'!O:O),"")</f>
        <v>0.70671473575739119</v>
      </c>
      <c r="AF101" s="108">
        <f>IFERROR(_xlfn.XLOOKUP($D101,'Modelling New'!$D:$D,'Modelling New'!W:W),"")</f>
        <v>0.11911562884943125</v>
      </c>
      <c r="AG101" s="108">
        <f>IFERROR(_xlfn.XLOOKUP($D101,'Modelling New'!$D:$D,'Modelling New'!AE:AE),"")</f>
        <v>0.98040000000000005</v>
      </c>
      <c r="AH101" s="128">
        <f>IFERROR(_xlfn.XLOOKUP($D101,'Modelling New'!$D:$D,'Modelling New'!AF:AF),"")</f>
        <v>0.98</v>
      </c>
      <c r="AN101" s="105"/>
      <c r="AO101" s="108"/>
      <c r="AP101" s="108"/>
      <c r="AQ101" s="108"/>
      <c r="AR101" s="101">
        <f>'Basic Data'!$B$98/1000</f>
        <v>8.0208999999999993</v>
      </c>
      <c r="AT101" s="7">
        <f>IFERROR(_xlfn.XLOOKUP(Table13[[#This Row],[Date]],'Raw Data'!$G:$G,'Raw Data'!$AN:$AN),"")</f>
        <v>0</v>
      </c>
      <c r="AU101" s="7">
        <f>IFERROR(_xlfn.XLOOKUP(Table13[[#This Row],[Month Year]],'Modelling New'!$D:$D,'Modelling New'!$AO:$AO),"")</f>
        <v>8</v>
      </c>
      <c r="AV101" s="7">
        <f>SUMIF('Curtailment Records'!$C:$C,Table13[[#This Row],[Date]],'Curtailment Records'!$R:$R)/1000</f>
        <v>0</v>
      </c>
    </row>
    <row r="102" spans="1:48" x14ac:dyDescent="0.3">
      <c r="A102" s="100">
        <f t="shared" si="7"/>
        <v>45845</v>
      </c>
      <c r="B102" s="101">
        <f>YEAR(Table13[[#This Row],[Date]])+IF(MONTH(Table13[[#This Row],[Date]])&gt;=4,1,0)</f>
        <v>2026</v>
      </c>
      <c r="C102" s="7">
        <f>YEAR(Table13[[#This Row],[Date]])</f>
        <v>2025</v>
      </c>
      <c r="D102" s="102">
        <f>Table13[[#This Row],[Date]]-DAY(Table13[[#This Row],[Date]])+1</f>
        <v>45839</v>
      </c>
      <c r="E102" s="7">
        <f t="shared" si="4"/>
        <v>31</v>
      </c>
      <c r="F102" s="103">
        <f>IFERROR(_xlfn.XLOOKUP($A102,'Raw Data'!$G:$G,'Raw Data'!$AM:$AM),"")</f>
        <v>12.133333333333333</v>
      </c>
      <c r="G102" s="104">
        <f>IFERROR(_xlfn.XLOOKUP($A102,'Raw Data'!$G:$G,'Raw Data'!$AB:$AB),"")</f>
        <v>0</v>
      </c>
      <c r="H102" s="104"/>
      <c r="I102" s="104">
        <f>IFERROR(_xlfn.XLOOKUP($A102,'Raw Data'!$G:$G,'Raw Data'!$AC:$AC),"")</f>
        <v>2.27</v>
      </c>
      <c r="J102" s="104"/>
      <c r="K102" s="104">
        <f>IFERROR(_xlfn.XLOOKUP($A102,'Raw Data'!$G:$G,'Raw Data'!AD:AD),"")</f>
        <v>0</v>
      </c>
      <c r="L102" s="104">
        <f>IFERROR(_xlfn.XLOOKUP($A102,'Raw Data'!$G:$G,'Raw Data'!AE:AE),"")</f>
        <v>30.36</v>
      </c>
      <c r="M102" s="104">
        <f>IFERROR(_xlfn.XLOOKUP($A102,'Raw Data'!$G:$G,'Raw Data'!AF:AF),"")</f>
        <v>0</v>
      </c>
      <c r="N102" s="104">
        <f>IFERROR(_xlfn.XLOOKUP($A102,'Raw Data'!$G:$G,'Raw Data'!AG:AG),"")</f>
        <v>0</v>
      </c>
      <c r="O102" s="105">
        <f>IFERROR(1-SUMIF('Plant BD'!$B:$B,$A102,'Plant BD'!$AM:$AM)/($AA102+SUMIF('Plant BD'!$B:$B,$A102,'Plant BD'!$AM:$AM)),"")</f>
        <v>1</v>
      </c>
      <c r="P102" s="105"/>
      <c r="Q102" s="106"/>
      <c r="R102" s="105">
        <f>IFERROR(1-SUMIF('Grid BD'!$B:$B,$A102,'Grid BD'!$AE:$AE)/($AA102+SUMIF('Grid BD'!$B:$B,$A102,'Grid BD'!$AE:$AE)),"")</f>
        <v>1</v>
      </c>
      <c r="T102" s="106"/>
      <c r="U102" s="107">
        <f t="shared" si="5"/>
        <v>0.84031568847938498</v>
      </c>
      <c r="V102" s="107"/>
      <c r="W102" s="108">
        <f t="shared" si="6"/>
        <v>7.947985886867516E-2</v>
      </c>
      <c r="X102" s="101">
        <f>IFERROR(_xlfn.XLOOKUP($A102,'Raw Data'!$G:$G,'Raw Data'!AI:AI),"")</f>
        <v>15535.800000000001</v>
      </c>
      <c r="Y102" s="101">
        <f>IFERROR(_xlfn.XLOOKUP($A102,'Raw Data'!$G:$G,'Raw Data'!AJ:AJ),"")</f>
        <v>15399.999999994179</v>
      </c>
      <c r="Z102" s="101">
        <f>IFERROR(_xlfn.XLOOKUP($A102,'Raw Data'!$G:$G,'Raw Data'!AK:AK),"")</f>
        <v>100.00000000002274</v>
      </c>
      <c r="AA102" s="101">
        <f>IFERROR(_xlfn.XLOOKUP($A102,'Raw Data'!$G:$G,'Raw Data'!$AL:$AL)*(1+(_xlfn.XLOOKUP(Table13[[#This Row],[Month Year]],JMR!$A:$A,JMR!$J:$J))),"")</f>
        <v>15299.999999994157</v>
      </c>
      <c r="AB102" s="101">
        <f>IFERROR(_xlfn.XLOOKUP($A102,'Raw Data'!$G:$G,'Raw Data'!H:H),"")</f>
        <v>8.0208999999999993</v>
      </c>
      <c r="AC102" s="67">
        <f>IFERROR(_xlfn.XLOOKUP($D102,'Modelling New'!$D:$D,'Modelling New'!P:P),"")</f>
        <v>4.0451612903225804</v>
      </c>
      <c r="AD102" s="101">
        <f>IFERROR(_xlfn.XLOOKUP($D102,'Modelling New'!$D:$D,'Modelling New'!$T:$T)*1000,"")</f>
        <v>22929.949138521675</v>
      </c>
      <c r="AE102" s="109">
        <f>IFERROR(_xlfn.XLOOKUP($D102,'Modelling New'!$D:$D,'Modelling New'!O:O),"")</f>
        <v>0.70671473575739119</v>
      </c>
      <c r="AF102" s="108">
        <f>IFERROR(_xlfn.XLOOKUP($D102,'Modelling New'!$D:$D,'Modelling New'!W:W),"")</f>
        <v>0.11911562884943125</v>
      </c>
      <c r="AG102" s="108">
        <f>IFERROR(_xlfn.XLOOKUP($D102,'Modelling New'!$D:$D,'Modelling New'!AE:AE),"")</f>
        <v>0.98040000000000005</v>
      </c>
      <c r="AH102" s="128">
        <f>IFERROR(_xlfn.XLOOKUP($D102,'Modelling New'!$D:$D,'Modelling New'!AF:AF),"")</f>
        <v>0.98</v>
      </c>
      <c r="AN102" s="105"/>
      <c r="AO102" s="108"/>
      <c r="AP102" s="108"/>
      <c r="AQ102" s="108"/>
      <c r="AR102" s="101">
        <f>'Basic Data'!$B$98/1000</f>
        <v>8.0208999999999993</v>
      </c>
      <c r="AT102" s="7">
        <f>IFERROR(_xlfn.XLOOKUP(Table13[[#This Row],[Date]],'Raw Data'!$G:$G,'Raw Data'!$AN:$AN),"")</f>
        <v>0</v>
      </c>
      <c r="AU102" s="7">
        <f>IFERROR(_xlfn.XLOOKUP(Table13[[#This Row],[Month Year]],'Modelling New'!$D:$D,'Modelling New'!$AO:$AO),"")</f>
        <v>8</v>
      </c>
      <c r="AV102" s="7">
        <f>SUMIF('Curtailment Records'!$C:$C,Table13[[#This Row],[Date]],'Curtailment Records'!$R:$R)/1000</f>
        <v>0</v>
      </c>
    </row>
    <row r="103" spans="1:48" x14ac:dyDescent="0.3">
      <c r="A103" s="100">
        <f t="shared" si="7"/>
        <v>45846</v>
      </c>
      <c r="B103" s="101">
        <f>YEAR(Table13[[#This Row],[Date]])+IF(MONTH(Table13[[#This Row],[Date]])&gt;=4,1,0)</f>
        <v>2026</v>
      </c>
      <c r="C103" s="7">
        <f>YEAR(Table13[[#This Row],[Date]])</f>
        <v>2025</v>
      </c>
      <c r="D103" s="102">
        <f>Table13[[#This Row],[Date]]-DAY(Table13[[#This Row],[Date]])+1</f>
        <v>45839</v>
      </c>
      <c r="E103" s="7">
        <f t="shared" si="4"/>
        <v>31</v>
      </c>
      <c r="F103" s="103">
        <f>IFERROR(_xlfn.XLOOKUP($A103,'Raw Data'!$G:$G,'Raw Data'!$AM:$AM),"")</f>
        <v>11.8</v>
      </c>
      <c r="G103" s="104">
        <f>IFERROR(_xlfn.XLOOKUP($A103,'Raw Data'!$G:$G,'Raw Data'!$AB:$AB),"")</f>
        <v>0</v>
      </c>
      <c r="H103" s="104"/>
      <c r="I103" s="104">
        <f>IFERROR(_xlfn.XLOOKUP($A103,'Raw Data'!$G:$G,'Raw Data'!$AC:$AC),"")</f>
        <v>3.44</v>
      </c>
      <c r="J103" s="104"/>
      <c r="K103" s="104">
        <f>IFERROR(_xlfn.XLOOKUP($A103,'Raw Data'!$G:$G,'Raw Data'!AD:AD),"")</f>
        <v>0</v>
      </c>
      <c r="L103" s="104">
        <f>IFERROR(_xlfn.XLOOKUP($A103,'Raw Data'!$G:$G,'Raw Data'!AE:AE),"")</f>
        <v>32.1</v>
      </c>
      <c r="M103" s="104">
        <f>IFERROR(_xlfn.XLOOKUP($A103,'Raw Data'!$G:$G,'Raw Data'!AF:AF),"")</f>
        <v>0</v>
      </c>
      <c r="N103" s="104">
        <f>IFERROR(_xlfn.XLOOKUP($A103,'Raw Data'!$G:$G,'Raw Data'!AG:AG),"")</f>
        <v>0</v>
      </c>
      <c r="O103" s="105">
        <f>IFERROR(1-SUMIF('Plant BD'!$B:$B,$A103,'Plant BD'!$AM:$AM)/($AA103+SUMIF('Plant BD'!$B:$B,$A103,'Plant BD'!$AM:$AM)),"")</f>
        <v>1</v>
      </c>
      <c r="P103" s="105"/>
      <c r="Q103" s="106"/>
      <c r="R103" s="105">
        <f>IFERROR(1-SUMIF('Grid BD'!$B:$B,$A103,'Grid BD'!$AE:$AE)/($AA103+SUMIF('Grid BD'!$B:$B,$A103,'Grid BD'!$AE:$AE)),"")</f>
        <v>1</v>
      </c>
      <c r="T103" s="106"/>
      <c r="U103" s="107">
        <f t="shared" si="5"/>
        <v>0.8208932071938817</v>
      </c>
      <c r="V103" s="107"/>
      <c r="W103" s="108">
        <f t="shared" si="6"/>
        <v>0.11766135969778969</v>
      </c>
      <c r="X103" s="101">
        <f>IFERROR(_xlfn.XLOOKUP($A103,'Raw Data'!$G:$G,'Raw Data'!AI:AI),"")</f>
        <v>22969.8</v>
      </c>
      <c r="Y103" s="101">
        <f>IFERROR(_xlfn.XLOOKUP($A103,'Raw Data'!$G:$G,'Raw Data'!AJ:AJ),"")</f>
        <v>22750</v>
      </c>
      <c r="Z103" s="101">
        <f>IFERROR(_xlfn.XLOOKUP($A103,'Raw Data'!$G:$G,'Raw Data'!AK:AK),"")</f>
        <v>99.999999999965894</v>
      </c>
      <c r="AA103" s="101">
        <f>IFERROR(_xlfn.XLOOKUP($A103,'Raw Data'!$G:$G,'Raw Data'!$AL:$AL)*(1+(_xlfn.XLOOKUP(Table13[[#This Row],[Month Year]],JMR!$A:$A,JMR!$J:$J))),"")</f>
        <v>22650.000000000033</v>
      </c>
      <c r="AB103" s="101">
        <f>IFERROR(_xlfn.XLOOKUP($A103,'Raw Data'!$G:$G,'Raw Data'!H:H),"")</f>
        <v>8.0208999999999993</v>
      </c>
      <c r="AC103" s="67">
        <f>IFERROR(_xlfn.XLOOKUP($D103,'Modelling New'!$D:$D,'Modelling New'!P:P),"")</f>
        <v>4.0451612903225804</v>
      </c>
      <c r="AD103" s="101">
        <f>IFERROR(_xlfn.XLOOKUP($D103,'Modelling New'!$D:$D,'Modelling New'!$T:$T)*1000,"")</f>
        <v>22929.949138521675</v>
      </c>
      <c r="AE103" s="109">
        <f>IFERROR(_xlfn.XLOOKUP($D103,'Modelling New'!$D:$D,'Modelling New'!O:O),"")</f>
        <v>0.70671473575739119</v>
      </c>
      <c r="AF103" s="108">
        <f>IFERROR(_xlfn.XLOOKUP($D103,'Modelling New'!$D:$D,'Modelling New'!W:W),"")</f>
        <v>0.11911562884943125</v>
      </c>
      <c r="AG103" s="108">
        <f>IFERROR(_xlfn.XLOOKUP($D103,'Modelling New'!$D:$D,'Modelling New'!AE:AE),"")</f>
        <v>0.98040000000000005</v>
      </c>
      <c r="AH103" s="128">
        <f>IFERROR(_xlfn.XLOOKUP($D103,'Modelling New'!$D:$D,'Modelling New'!AF:AF),"")</f>
        <v>0.98</v>
      </c>
      <c r="AN103" s="105"/>
      <c r="AO103" s="108"/>
      <c r="AP103" s="108"/>
      <c r="AQ103" s="108"/>
      <c r="AR103" s="101">
        <f>'Basic Data'!$B$98/1000</f>
        <v>8.0208999999999993</v>
      </c>
      <c r="AT103" s="7">
        <f>IFERROR(_xlfn.XLOOKUP(Table13[[#This Row],[Date]],'Raw Data'!$G:$G,'Raw Data'!$AN:$AN),"")</f>
        <v>0</v>
      </c>
      <c r="AU103" s="7">
        <f>IFERROR(_xlfn.XLOOKUP(Table13[[#This Row],[Month Year]],'Modelling New'!$D:$D,'Modelling New'!$AO:$AO),"")</f>
        <v>8</v>
      </c>
      <c r="AV103" s="7">
        <f>SUMIF('Curtailment Records'!$C:$C,Table13[[#This Row],[Date]],'Curtailment Records'!$R:$R)/1000</f>
        <v>0</v>
      </c>
    </row>
    <row r="104" spans="1:48" x14ac:dyDescent="0.3">
      <c r="A104" s="100">
        <f t="shared" si="7"/>
        <v>45847</v>
      </c>
      <c r="B104" s="101">
        <f>YEAR(Table13[[#This Row],[Date]])+IF(MONTH(Table13[[#This Row],[Date]])&gt;=4,1,0)</f>
        <v>2026</v>
      </c>
      <c r="C104" s="7">
        <f>YEAR(Table13[[#This Row],[Date]])</f>
        <v>2025</v>
      </c>
      <c r="D104" s="102">
        <f>Table13[[#This Row],[Date]]-DAY(Table13[[#This Row],[Date]])+1</f>
        <v>45839</v>
      </c>
      <c r="E104" s="7">
        <f t="shared" si="4"/>
        <v>31</v>
      </c>
      <c r="F104" s="103">
        <f>IFERROR(_xlfn.XLOOKUP($A104,'Raw Data'!$G:$G,'Raw Data'!$AM:$AM),"")</f>
        <v>12.433333333333334</v>
      </c>
      <c r="G104" s="104">
        <f>IFERROR(_xlfn.XLOOKUP($A104,'Raw Data'!$G:$G,'Raw Data'!$AB:$AB),"")</f>
        <v>0</v>
      </c>
      <c r="H104" s="104"/>
      <c r="I104" s="104">
        <f>IFERROR(_xlfn.XLOOKUP($A104,'Raw Data'!$G:$G,'Raw Data'!$AC:$AC),"")</f>
        <v>3.83</v>
      </c>
      <c r="J104" s="104"/>
      <c r="K104" s="104">
        <f>IFERROR(_xlfn.XLOOKUP($A104,'Raw Data'!$G:$G,'Raw Data'!AD:AD),"")</f>
        <v>0</v>
      </c>
      <c r="L104" s="104">
        <f>IFERROR(_xlfn.XLOOKUP($A104,'Raw Data'!$G:$G,'Raw Data'!AE:AE),"")</f>
        <v>33</v>
      </c>
      <c r="M104" s="104">
        <f>IFERROR(_xlfn.XLOOKUP($A104,'Raw Data'!$G:$G,'Raw Data'!AF:AF),"")</f>
        <v>0</v>
      </c>
      <c r="N104" s="104">
        <f>IFERROR(_xlfn.XLOOKUP($A104,'Raw Data'!$G:$G,'Raw Data'!AG:AG),"")</f>
        <v>0</v>
      </c>
      <c r="O104" s="105">
        <f>IFERROR(1-SUMIF('Plant BD'!$B:$B,$A104,'Plant BD'!$AM:$AM)/($AA104+SUMIF('Plant BD'!$B:$B,$A104,'Plant BD'!$AM:$AM)),"")</f>
        <v>1</v>
      </c>
      <c r="P104" s="105"/>
      <c r="Q104" s="106"/>
      <c r="R104" s="105">
        <f>IFERROR(1-SUMIF('Grid BD'!$B:$B,$A104,'Grid BD'!$AE:$AE)/($AA104+SUMIF('Grid BD'!$B:$B,$A104,'Grid BD'!$AE:$AE)),"")</f>
        <v>1</v>
      </c>
      <c r="T104" s="106"/>
      <c r="U104" s="107">
        <f t="shared" si="5"/>
        <v>0.79752482149541626</v>
      </c>
      <c r="V104" s="107"/>
      <c r="W104" s="108">
        <f t="shared" si="6"/>
        <v>0.12727166943031018</v>
      </c>
      <c r="X104" s="101">
        <f>IFERROR(_xlfn.XLOOKUP($A104,'Raw Data'!$G:$G,'Raw Data'!AI:AI),"")</f>
        <v>24839.300000000003</v>
      </c>
      <c r="Y104" s="101">
        <f>IFERROR(_xlfn.XLOOKUP($A104,'Raw Data'!$G:$G,'Raw Data'!AJ:AJ),"")</f>
        <v>24600.000000005821</v>
      </c>
      <c r="Z104" s="101">
        <f>IFERROR(_xlfn.XLOOKUP($A104,'Raw Data'!$G:$G,'Raw Data'!AK:AK),"")</f>
        <v>100.00000000002274</v>
      </c>
      <c r="AA104" s="101">
        <f>IFERROR(_xlfn.XLOOKUP($A104,'Raw Data'!$G:$G,'Raw Data'!$AL:$AL)*(1+(_xlfn.XLOOKUP(Table13[[#This Row],[Month Year]],JMR!$A:$A,JMR!$J:$J))),"")</f>
        <v>24500.000000005799</v>
      </c>
      <c r="AB104" s="101">
        <f>IFERROR(_xlfn.XLOOKUP($A104,'Raw Data'!$G:$G,'Raw Data'!H:H),"")</f>
        <v>8.0208999999999993</v>
      </c>
      <c r="AC104" s="67">
        <f>IFERROR(_xlfn.XLOOKUP($D104,'Modelling New'!$D:$D,'Modelling New'!P:P),"")</f>
        <v>4.0451612903225804</v>
      </c>
      <c r="AD104" s="101">
        <f>IFERROR(_xlfn.XLOOKUP($D104,'Modelling New'!$D:$D,'Modelling New'!$T:$T)*1000,"")</f>
        <v>22929.949138521675</v>
      </c>
      <c r="AE104" s="109">
        <f>IFERROR(_xlfn.XLOOKUP($D104,'Modelling New'!$D:$D,'Modelling New'!O:O),"")</f>
        <v>0.70671473575739119</v>
      </c>
      <c r="AF104" s="108">
        <f>IFERROR(_xlfn.XLOOKUP($D104,'Modelling New'!$D:$D,'Modelling New'!W:W),"")</f>
        <v>0.11911562884943125</v>
      </c>
      <c r="AG104" s="108">
        <f>IFERROR(_xlfn.XLOOKUP($D104,'Modelling New'!$D:$D,'Modelling New'!AE:AE),"")</f>
        <v>0.98040000000000005</v>
      </c>
      <c r="AH104" s="128">
        <f>IFERROR(_xlfn.XLOOKUP($D104,'Modelling New'!$D:$D,'Modelling New'!AF:AF),"")</f>
        <v>0.98</v>
      </c>
      <c r="AN104" s="105"/>
      <c r="AO104" s="108"/>
      <c r="AP104" s="108"/>
      <c r="AQ104" s="108"/>
      <c r="AR104" s="101">
        <f>'Basic Data'!$B$98/1000</f>
        <v>8.0208999999999993</v>
      </c>
      <c r="AT104" s="7">
        <f>IFERROR(_xlfn.XLOOKUP(Table13[[#This Row],[Date]],'Raw Data'!$G:$G,'Raw Data'!$AN:$AN),"")</f>
        <v>0</v>
      </c>
      <c r="AU104" s="7">
        <f>IFERROR(_xlfn.XLOOKUP(Table13[[#This Row],[Month Year]],'Modelling New'!$D:$D,'Modelling New'!$AO:$AO),"")</f>
        <v>8</v>
      </c>
      <c r="AV104" s="7">
        <f>SUMIF('Curtailment Records'!$C:$C,Table13[[#This Row],[Date]],'Curtailment Records'!$R:$R)/1000</f>
        <v>0</v>
      </c>
    </row>
    <row r="105" spans="1:48" x14ac:dyDescent="0.3">
      <c r="A105" s="100">
        <f t="shared" si="7"/>
        <v>45848</v>
      </c>
      <c r="B105" s="101">
        <f>YEAR(Table13[[#This Row],[Date]])+IF(MONTH(Table13[[#This Row],[Date]])&gt;=4,1,0)</f>
        <v>2026</v>
      </c>
      <c r="C105" s="7">
        <f>YEAR(Table13[[#This Row],[Date]])</f>
        <v>2025</v>
      </c>
      <c r="D105" s="102">
        <f>Table13[[#This Row],[Date]]-DAY(Table13[[#This Row],[Date]])+1</f>
        <v>45839</v>
      </c>
      <c r="E105" s="7">
        <f t="shared" si="4"/>
        <v>31</v>
      </c>
      <c r="F105" s="103">
        <f>IFERROR(_xlfn.XLOOKUP($A105,'Raw Data'!$G:$G,'Raw Data'!$AM:$AM),"")</f>
        <v>12.5</v>
      </c>
      <c r="G105" s="104">
        <f>IFERROR(_xlfn.XLOOKUP($A105,'Raw Data'!$G:$G,'Raw Data'!$AB:$AB),"")</f>
        <v>0</v>
      </c>
      <c r="H105" s="104"/>
      <c r="I105" s="104">
        <f>IFERROR(_xlfn.XLOOKUP($A105,'Raw Data'!$G:$G,'Raw Data'!$AC:$AC),"")</f>
        <v>5.12</v>
      </c>
      <c r="J105" s="104"/>
      <c r="K105" s="104">
        <f>IFERROR(_xlfn.XLOOKUP($A105,'Raw Data'!$G:$G,'Raw Data'!AD:AD),"")</f>
        <v>0</v>
      </c>
      <c r="L105" s="104">
        <f>IFERROR(_xlfn.XLOOKUP($A105,'Raw Data'!$G:$G,'Raw Data'!AE:AE),"")</f>
        <v>36.53</v>
      </c>
      <c r="M105" s="104">
        <f>IFERROR(_xlfn.XLOOKUP($A105,'Raw Data'!$G:$G,'Raw Data'!AF:AF),"")</f>
        <v>0</v>
      </c>
      <c r="N105" s="104">
        <f>IFERROR(_xlfn.XLOOKUP($A105,'Raw Data'!$G:$G,'Raw Data'!AG:AG),"")</f>
        <v>0</v>
      </c>
      <c r="O105" s="105">
        <f>IFERROR(1-SUMIF('Plant BD'!$B:$B,$A105,'Plant BD'!$AM:$AM)/($AA105+SUMIF('Plant BD'!$B:$B,$A105,'Plant BD'!$AM:$AM)),"")</f>
        <v>1</v>
      </c>
      <c r="P105" s="105"/>
      <c r="Q105" s="106"/>
      <c r="R105" s="105">
        <f>IFERROR(1-SUMIF('Grid BD'!$B:$B,$A105,'Grid BD'!$AE:$AE)/($AA105+SUMIF('Grid BD'!$B:$B,$A105,'Grid BD'!$AE:$AE)),"")</f>
        <v>1</v>
      </c>
      <c r="T105" s="106"/>
      <c r="U105" s="107">
        <f t="shared" si="5"/>
        <v>0.79625961550456625</v>
      </c>
      <c r="V105" s="107"/>
      <c r="W105" s="108">
        <f t="shared" si="6"/>
        <v>0.16986871797430744</v>
      </c>
      <c r="X105" s="101">
        <f>IFERROR(_xlfn.XLOOKUP($A105,'Raw Data'!$G:$G,'Raw Data'!AI:AI),"")</f>
        <v>33102</v>
      </c>
      <c r="Y105" s="101">
        <f>IFERROR(_xlfn.XLOOKUP($A105,'Raw Data'!$G:$G,'Raw Data'!AJ:AJ),"")</f>
        <v>32800.00000000291</v>
      </c>
      <c r="Z105" s="101">
        <f>IFERROR(_xlfn.XLOOKUP($A105,'Raw Data'!$G:$G,'Raw Data'!AK:AK),"")</f>
        <v>99.999999999965894</v>
      </c>
      <c r="AA105" s="101">
        <f>IFERROR(_xlfn.XLOOKUP($A105,'Raw Data'!$G:$G,'Raw Data'!$AL:$AL)*(1+(_xlfn.XLOOKUP(Table13[[#This Row],[Month Year]],JMR!$A:$A,JMR!$J:$J))),"")</f>
        <v>32700.000000002943</v>
      </c>
      <c r="AB105" s="101">
        <f>IFERROR(_xlfn.XLOOKUP($A105,'Raw Data'!$G:$G,'Raw Data'!H:H),"")</f>
        <v>8.0208999999999993</v>
      </c>
      <c r="AC105" s="67">
        <f>IFERROR(_xlfn.XLOOKUP($D105,'Modelling New'!$D:$D,'Modelling New'!P:P),"")</f>
        <v>4.0451612903225804</v>
      </c>
      <c r="AD105" s="101">
        <f>IFERROR(_xlfn.XLOOKUP($D105,'Modelling New'!$D:$D,'Modelling New'!$T:$T)*1000,"")</f>
        <v>22929.949138521675</v>
      </c>
      <c r="AE105" s="109">
        <f>IFERROR(_xlfn.XLOOKUP($D105,'Modelling New'!$D:$D,'Modelling New'!O:O),"")</f>
        <v>0.70671473575739119</v>
      </c>
      <c r="AF105" s="108">
        <f>IFERROR(_xlfn.XLOOKUP($D105,'Modelling New'!$D:$D,'Modelling New'!W:W),"")</f>
        <v>0.11911562884943125</v>
      </c>
      <c r="AG105" s="108">
        <f>IFERROR(_xlfn.XLOOKUP($D105,'Modelling New'!$D:$D,'Modelling New'!AE:AE),"")</f>
        <v>0.98040000000000005</v>
      </c>
      <c r="AH105" s="128">
        <f>IFERROR(_xlfn.XLOOKUP($D105,'Modelling New'!$D:$D,'Modelling New'!AF:AF),"")</f>
        <v>0.98</v>
      </c>
      <c r="AN105" s="105"/>
      <c r="AO105" s="108"/>
      <c r="AP105" s="108"/>
      <c r="AQ105" s="108"/>
      <c r="AR105" s="101">
        <f>'Basic Data'!$B$98/1000</f>
        <v>8.0208999999999993</v>
      </c>
      <c r="AT105" s="7">
        <f>IFERROR(_xlfn.XLOOKUP(Table13[[#This Row],[Date]],'Raw Data'!$G:$G,'Raw Data'!$AN:$AN),"")</f>
        <v>0</v>
      </c>
      <c r="AU105" s="7">
        <f>IFERROR(_xlfn.XLOOKUP(Table13[[#This Row],[Month Year]],'Modelling New'!$D:$D,'Modelling New'!$AO:$AO),"")</f>
        <v>8</v>
      </c>
      <c r="AV105" s="7">
        <f>SUMIF('Curtailment Records'!$C:$C,Table13[[#This Row],[Date]],'Curtailment Records'!$R:$R)/1000</f>
        <v>0</v>
      </c>
    </row>
    <row r="106" spans="1:48" x14ac:dyDescent="0.3">
      <c r="A106" s="100">
        <f t="shared" si="7"/>
        <v>45849</v>
      </c>
      <c r="B106" s="101">
        <f>YEAR(Table13[[#This Row],[Date]])+IF(MONTH(Table13[[#This Row],[Date]])&gt;=4,1,0)</f>
        <v>2026</v>
      </c>
      <c r="C106" s="7">
        <f>YEAR(Table13[[#This Row],[Date]])</f>
        <v>2025</v>
      </c>
      <c r="D106" s="102">
        <f>Table13[[#This Row],[Date]]-DAY(Table13[[#This Row],[Date]])+1</f>
        <v>45839</v>
      </c>
      <c r="E106" s="7">
        <f t="shared" si="4"/>
        <v>31</v>
      </c>
      <c r="F106" s="103">
        <f>IFERROR(_xlfn.XLOOKUP($A106,'Raw Data'!$G:$G,'Raw Data'!$AM:$AM),"")</f>
        <v>12.600000000000001</v>
      </c>
      <c r="G106" s="104">
        <f>IFERROR(_xlfn.XLOOKUP($A106,'Raw Data'!$G:$G,'Raw Data'!$AB:$AB),"")</f>
        <v>0</v>
      </c>
      <c r="H106" s="104"/>
      <c r="I106" s="104">
        <f>IFERROR(_xlfn.XLOOKUP($A106,'Raw Data'!$G:$G,'Raw Data'!$AC:$AC),"")</f>
        <v>5.42</v>
      </c>
      <c r="J106" s="104"/>
      <c r="K106" s="104">
        <f>IFERROR(_xlfn.XLOOKUP($A106,'Raw Data'!$G:$G,'Raw Data'!AD:AD),"")</f>
        <v>0</v>
      </c>
      <c r="L106" s="104">
        <f>IFERROR(_xlfn.XLOOKUP($A106,'Raw Data'!$G:$G,'Raw Data'!AE:AE),"")</f>
        <v>36.53</v>
      </c>
      <c r="M106" s="104">
        <f>IFERROR(_xlfn.XLOOKUP($A106,'Raw Data'!$G:$G,'Raw Data'!AF:AF),"")</f>
        <v>0</v>
      </c>
      <c r="N106" s="104">
        <f>IFERROR(_xlfn.XLOOKUP($A106,'Raw Data'!$G:$G,'Raw Data'!AG:AG),"")</f>
        <v>0</v>
      </c>
      <c r="O106" s="105">
        <f>IFERROR(1-SUMIF('Plant BD'!$B:$B,$A106,'Plant BD'!$AM:$AM)/($AA106+SUMIF('Plant BD'!$B:$B,$A106,'Plant BD'!$AM:$AM)),"")</f>
        <v>1</v>
      </c>
      <c r="P106" s="105"/>
      <c r="Q106" s="106"/>
      <c r="R106" s="105">
        <f>IFERROR(1-SUMIF('Grid BD'!$B:$B,$A106,'Grid BD'!$AE:$AE)/($AA106+SUMIF('Grid BD'!$B:$B,$A106,'Grid BD'!$AE:$AE)),"")</f>
        <v>0.97828607227540909</v>
      </c>
      <c r="T106" s="106"/>
      <c r="U106" s="107">
        <f t="shared" si="5"/>
        <v>0.76368752317201249</v>
      </c>
      <c r="V106" s="107"/>
      <c r="W106" s="108">
        <f t="shared" si="6"/>
        <v>0.17246609898301279</v>
      </c>
      <c r="X106" s="101">
        <f>IFERROR(_xlfn.XLOOKUP($A106,'Raw Data'!$G:$G,'Raw Data'!AI:AI),"")</f>
        <v>33591.699999999997</v>
      </c>
      <c r="Y106" s="101">
        <f>IFERROR(_xlfn.XLOOKUP($A106,'Raw Data'!$G:$G,'Raw Data'!AJ:AJ),"")</f>
        <v>33299.999999988358</v>
      </c>
      <c r="Z106" s="101">
        <f>IFERROR(_xlfn.XLOOKUP($A106,'Raw Data'!$G:$G,'Raw Data'!AK:AK),"")</f>
        <v>100.00000000002274</v>
      </c>
      <c r="AA106" s="101">
        <f>IFERROR(_xlfn.XLOOKUP($A106,'Raw Data'!$G:$G,'Raw Data'!$AL:$AL)*(1+(_xlfn.XLOOKUP(Table13[[#This Row],[Month Year]],JMR!$A:$A,JMR!$J:$J))),"")</f>
        <v>33199.999999988337</v>
      </c>
      <c r="AB106" s="101">
        <f>IFERROR(_xlfn.XLOOKUP($A106,'Raw Data'!$G:$G,'Raw Data'!H:H),"")</f>
        <v>8.0208999999999993</v>
      </c>
      <c r="AC106" s="67">
        <f>IFERROR(_xlfn.XLOOKUP($D106,'Modelling New'!$D:$D,'Modelling New'!P:P),"")</f>
        <v>4.0451612903225804</v>
      </c>
      <c r="AD106" s="101">
        <f>IFERROR(_xlfn.XLOOKUP($D106,'Modelling New'!$D:$D,'Modelling New'!$T:$T)*1000,"")</f>
        <v>22929.949138521675</v>
      </c>
      <c r="AE106" s="109">
        <f>IFERROR(_xlfn.XLOOKUP($D106,'Modelling New'!$D:$D,'Modelling New'!O:O),"")</f>
        <v>0.70671473575739119</v>
      </c>
      <c r="AF106" s="108">
        <f>IFERROR(_xlfn.XLOOKUP($D106,'Modelling New'!$D:$D,'Modelling New'!W:W),"")</f>
        <v>0.11911562884943125</v>
      </c>
      <c r="AG106" s="108">
        <f>IFERROR(_xlfn.XLOOKUP($D106,'Modelling New'!$D:$D,'Modelling New'!AE:AE),"")</f>
        <v>0.98040000000000005</v>
      </c>
      <c r="AH106" s="128">
        <f>IFERROR(_xlfn.XLOOKUP($D106,'Modelling New'!$D:$D,'Modelling New'!AF:AF),"")</f>
        <v>0.98</v>
      </c>
      <c r="AN106" s="105"/>
      <c r="AO106" s="108"/>
      <c r="AP106" s="108"/>
      <c r="AQ106" s="108"/>
      <c r="AR106" s="101">
        <f>'Basic Data'!$B$98/1000</f>
        <v>8.0208999999999993</v>
      </c>
      <c r="AT106" s="7">
        <f>IFERROR(_xlfn.XLOOKUP(Table13[[#This Row],[Date]],'Raw Data'!$G:$G,'Raw Data'!$AN:$AN),"")</f>
        <v>0</v>
      </c>
      <c r="AU106" s="7">
        <f>IFERROR(_xlfn.XLOOKUP(Table13[[#This Row],[Month Year]],'Modelling New'!$D:$D,'Modelling New'!$AO:$AO),"")</f>
        <v>8</v>
      </c>
      <c r="AV106" s="7">
        <f>SUMIF('Curtailment Records'!$C:$C,Table13[[#This Row],[Date]],'Curtailment Records'!$R:$R)/1000</f>
        <v>0</v>
      </c>
    </row>
    <row r="107" spans="1:48" x14ac:dyDescent="0.3">
      <c r="A107" s="100">
        <f t="shared" si="7"/>
        <v>45850</v>
      </c>
      <c r="B107" s="101">
        <f>YEAR(Table13[[#This Row],[Date]])+IF(MONTH(Table13[[#This Row],[Date]])&gt;=4,1,0)</f>
        <v>2026</v>
      </c>
      <c r="C107" s="7">
        <f>YEAR(Table13[[#This Row],[Date]])</f>
        <v>2025</v>
      </c>
      <c r="D107" s="102">
        <f>Table13[[#This Row],[Date]]-DAY(Table13[[#This Row],[Date]])+1</f>
        <v>45839</v>
      </c>
      <c r="E107" s="7">
        <f t="shared" si="4"/>
        <v>31</v>
      </c>
      <c r="F107" s="103">
        <f>IFERROR(_xlfn.XLOOKUP($A107,'Raw Data'!$G:$G,'Raw Data'!$AM:$AM),"")</f>
        <v>12.65</v>
      </c>
      <c r="G107" s="104">
        <f>IFERROR(_xlfn.XLOOKUP($A107,'Raw Data'!$G:$G,'Raw Data'!$AB:$AB),"")</f>
        <v>0</v>
      </c>
      <c r="H107" s="104"/>
      <c r="I107" s="104">
        <f>IFERROR(_xlfn.XLOOKUP($A107,'Raw Data'!$G:$G,'Raw Data'!$AC:$AC),"")</f>
        <v>5.2</v>
      </c>
      <c r="J107" s="104"/>
      <c r="K107" s="104">
        <f>IFERROR(_xlfn.XLOOKUP($A107,'Raw Data'!$G:$G,'Raw Data'!AD:AD),"")</f>
        <v>0</v>
      </c>
      <c r="L107" s="104">
        <f>IFERROR(_xlfn.XLOOKUP($A107,'Raw Data'!$G:$G,'Raw Data'!AE:AE),"")</f>
        <v>37.07</v>
      </c>
      <c r="M107" s="104">
        <f>IFERROR(_xlfn.XLOOKUP($A107,'Raw Data'!$G:$G,'Raw Data'!AF:AF),"")</f>
        <v>0</v>
      </c>
      <c r="N107" s="104">
        <f>IFERROR(_xlfn.XLOOKUP($A107,'Raw Data'!$G:$G,'Raw Data'!AG:AG),"")</f>
        <v>0</v>
      </c>
      <c r="O107" s="105">
        <f>IFERROR(1-SUMIF('Plant BD'!$B:$B,$A107,'Plant BD'!$AM:$AM)/($AA107+SUMIF('Plant BD'!$B:$B,$A107,'Plant BD'!$AM:$AM)),"")</f>
        <v>1</v>
      </c>
      <c r="P107" s="105"/>
      <c r="Q107" s="106"/>
      <c r="R107" s="105">
        <f>IFERROR(1-SUMIF('Grid BD'!$B:$B,$A107,'Grid BD'!$AE:$AE)/($AA107+SUMIF('Grid BD'!$B:$B,$A107,'Grid BD'!$AE:$AE)),"")</f>
        <v>0.95461551702109548</v>
      </c>
      <c r="T107" s="106"/>
      <c r="U107" s="107">
        <f t="shared" si="5"/>
        <v>0.7432505655898437</v>
      </c>
      <c r="V107" s="107"/>
      <c r="W107" s="108">
        <f t="shared" si="6"/>
        <v>0.1610376225444661</v>
      </c>
      <c r="X107" s="101">
        <f>IFERROR(_xlfn.XLOOKUP($A107,'Raw Data'!$G:$G,'Raw Data'!AI:AI),"")</f>
        <v>31407.5</v>
      </c>
      <c r="Y107" s="101">
        <f>IFERROR(_xlfn.XLOOKUP($A107,'Raw Data'!$G:$G,'Raw Data'!AJ:AJ),"")</f>
        <v>31100.000000005821</v>
      </c>
      <c r="Z107" s="101">
        <f>IFERROR(_xlfn.XLOOKUP($A107,'Raw Data'!$G:$G,'Raw Data'!AK:AK),"")</f>
        <v>100.00000000002274</v>
      </c>
      <c r="AA107" s="101">
        <f>IFERROR(_xlfn.XLOOKUP($A107,'Raw Data'!$G:$G,'Raw Data'!$AL:$AL)*(1+(_xlfn.XLOOKUP(Table13[[#This Row],[Month Year]],JMR!$A:$A,JMR!$J:$J))),"")</f>
        <v>31000.000000005799</v>
      </c>
      <c r="AB107" s="101">
        <f>IFERROR(_xlfn.XLOOKUP($A107,'Raw Data'!$G:$G,'Raw Data'!H:H),"")</f>
        <v>8.0208999999999993</v>
      </c>
      <c r="AC107" s="67">
        <f>IFERROR(_xlfn.XLOOKUP($D107,'Modelling New'!$D:$D,'Modelling New'!P:P),"")</f>
        <v>4.0451612903225804</v>
      </c>
      <c r="AD107" s="101">
        <f>IFERROR(_xlfn.XLOOKUP($D107,'Modelling New'!$D:$D,'Modelling New'!$T:$T)*1000,"")</f>
        <v>22929.949138521675</v>
      </c>
      <c r="AE107" s="109">
        <f>IFERROR(_xlfn.XLOOKUP($D107,'Modelling New'!$D:$D,'Modelling New'!O:O),"")</f>
        <v>0.70671473575739119</v>
      </c>
      <c r="AF107" s="108">
        <f>IFERROR(_xlfn.XLOOKUP($D107,'Modelling New'!$D:$D,'Modelling New'!W:W),"")</f>
        <v>0.11911562884943125</v>
      </c>
      <c r="AG107" s="108">
        <f>IFERROR(_xlfn.XLOOKUP($D107,'Modelling New'!$D:$D,'Modelling New'!AE:AE),"")</f>
        <v>0.98040000000000005</v>
      </c>
      <c r="AH107" s="128">
        <f>IFERROR(_xlfn.XLOOKUP($D107,'Modelling New'!$D:$D,'Modelling New'!AF:AF),"")</f>
        <v>0.98</v>
      </c>
      <c r="AN107" s="105"/>
      <c r="AO107" s="108"/>
      <c r="AP107" s="108"/>
      <c r="AQ107" s="108"/>
      <c r="AR107" s="101">
        <f>'Basic Data'!$B$98/1000</f>
        <v>8.0208999999999993</v>
      </c>
      <c r="AT107" s="7">
        <f>IFERROR(_xlfn.XLOOKUP(Table13[[#This Row],[Date]],'Raw Data'!$G:$G,'Raw Data'!$AN:$AN),"")</f>
        <v>0</v>
      </c>
      <c r="AU107" s="7">
        <f>IFERROR(_xlfn.XLOOKUP(Table13[[#This Row],[Month Year]],'Modelling New'!$D:$D,'Modelling New'!$AO:$AO),"")</f>
        <v>8</v>
      </c>
      <c r="AV107" s="7">
        <f>SUMIF('Curtailment Records'!$C:$C,Table13[[#This Row],[Date]],'Curtailment Records'!$R:$R)/1000</f>
        <v>0</v>
      </c>
    </row>
    <row r="108" spans="1:48" x14ac:dyDescent="0.3">
      <c r="A108" s="100">
        <f t="shared" si="7"/>
        <v>45851</v>
      </c>
      <c r="B108" s="101">
        <f>YEAR(Table13[[#This Row],[Date]])+IF(MONTH(Table13[[#This Row],[Date]])&gt;=4,1,0)</f>
        <v>2026</v>
      </c>
      <c r="C108" s="7">
        <f>YEAR(Table13[[#This Row],[Date]])</f>
        <v>2025</v>
      </c>
      <c r="D108" s="102">
        <f>Table13[[#This Row],[Date]]-DAY(Table13[[#This Row],[Date]])+1</f>
        <v>45839</v>
      </c>
      <c r="E108" s="7">
        <f t="shared" si="4"/>
        <v>31</v>
      </c>
      <c r="F108" s="103">
        <f>IFERROR(_xlfn.XLOOKUP($A108,'Raw Data'!$G:$G,'Raw Data'!$AM:$AM),"")</f>
        <v>12.85</v>
      </c>
      <c r="G108" s="104">
        <f>IFERROR(_xlfn.XLOOKUP($A108,'Raw Data'!$G:$G,'Raw Data'!$AB:$AB),"")</f>
        <v>0</v>
      </c>
      <c r="H108" s="104"/>
      <c r="I108" s="104">
        <f>IFERROR(_xlfn.XLOOKUP($A108,'Raw Data'!$G:$G,'Raw Data'!$AC:$AC),"")</f>
        <v>5.12</v>
      </c>
      <c r="J108" s="104"/>
      <c r="K108" s="104">
        <f>IFERROR(_xlfn.XLOOKUP($A108,'Raw Data'!$G:$G,'Raw Data'!AD:AD),"")</f>
        <v>0</v>
      </c>
      <c r="L108" s="104">
        <f>IFERROR(_xlfn.XLOOKUP($A108,'Raw Data'!$G:$G,'Raw Data'!AE:AE),"")</f>
        <v>36.71</v>
      </c>
      <c r="M108" s="104">
        <f>IFERROR(_xlfn.XLOOKUP($A108,'Raw Data'!$G:$G,'Raw Data'!AF:AF),"")</f>
        <v>0</v>
      </c>
      <c r="N108" s="104">
        <f>IFERROR(_xlfn.XLOOKUP($A108,'Raw Data'!$G:$G,'Raw Data'!AG:AG),"")</f>
        <v>0</v>
      </c>
      <c r="O108" s="105">
        <f>IFERROR(1-SUMIF('Plant BD'!$B:$B,$A108,'Plant BD'!$AM:$AM)/($AA108+SUMIF('Plant BD'!$B:$B,$A108,'Plant BD'!$AM:$AM)),"")</f>
        <v>1</v>
      </c>
      <c r="P108" s="105"/>
      <c r="Q108" s="106"/>
      <c r="R108" s="105">
        <f>IFERROR(1-SUMIF('Grid BD'!$B:$B,$A108,'Grid BD'!$AE:$AE)/($AA108+SUMIF('Grid BD'!$B:$B,$A108,'Grid BD'!$AE:$AE)),"")</f>
        <v>1</v>
      </c>
      <c r="T108" s="106"/>
      <c r="U108" s="107">
        <f t="shared" si="5"/>
        <v>0.79504209315662921</v>
      </c>
      <c r="V108" s="107"/>
      <c r="W108" s="108">
        <f t="shared" si="6"/>
        <v>0.1696089798734142</v>
      </c>
      <c r="X108" s="101">
        <f>IFERROR(_xlfn.XLOOKUP($A108,'Raw Data'!$G:$G,'Raw Data'!AI:AI),"")</f>
        <v>33013.699999999997</v>
      </c>
      <c r="Y108" s="101">
        <f>IFERROR(_xlfn.XLOOKUP($A108,'Raw Data'!$G:$G,'Raw Data'!AJ:AJ),"")</f>
        <v>32750</v>
      </c>
      <c r="Z108" s="101">
        <f>IFERROR(_xlfn.XLOOKUP($A108,'Raw Data'!$G:$G,'Raw Data'!AK:AK),"")</f>
        <v>99.999999999965894</v>
      </c>
      <c r="AA108" s="101">
        <f>IFERROR(_xlfn.XLOOKUP($A108,'Raw Data'!$G:$G,'Raw Data'!$AL:$AL)*(1+(_xlfn.XLOOKUP(Table13[[#This Row],[Month Year]],JMR!$A:$A,JMR!$J:$J))),"")</f>
        <v>32650.000000000033</v>
      </c>
      <c r="AB108" s="101">
        <f>IFERROR(_xlfn.XLOOKUP($A108,'Raw Data'!$G:$G,'Raw Data'!H:H),"")</f>
        <v>8.0208999999999993</v>
      </c>
      <c r="AC108" s="67">
        <f>IFERROR(_xlfn.XLOOKUP($D108,'Modelling New'!$D:$D,'Modelling New'!P:P),"")</f>
        <v>4.0451612903225804</v>
      </c>
      <c r="AD108" s="101">
        <f>IFERROR(_xlfn.XLOOKUP($D108,'Modelling New'!$D:$D,'Modelling New'!$T:$T)*1000,"")</f>
        <v>22929.949138521675</v>
      </c>
      <c r="AE108" s="109">
        <f>IFERROR(_xlfn.XLOOKUP($D108,'Modelling New'!$D:$D,'Modelling New'!O:O),"")</f>
        <v>0.70671473575739119</v>
      </c>
      <c r="AF108" s="108">
        <f>IFERROR(_xlfn.XLOOKUP($D108,'Modelling New'!$D:$D,'Modelling New'!W:W),"")</f>
        <v>0.11911562884943125</v>
      </c>
      <c r="AG108" s="108">
        <f>IFERROR(_xlfn.XLOOKUP($D108,'Modelling New'!$D:$D,'Modelling New'!AE:AE),"")</f>
        <v>0.98040000000000005</v>
      </c>
      <c r="AH108" s="128">
        <f>IFERROR(_xlfn.XLOOKUP($D108,'Modelling New'!$D:$D,'Modelling New'!AF:AF),"")</f>
        <v>0.98</v>
      </c>
      <c r="AN108" s="105"/>
      <c r="AO108" s="108"/>
      <c r="AP108" s="108"/>
      <c r="AQ108" s="108"/>
      <c r="AR108" s="101">
        <f>'Basic Data'!$B$98/1000</f>
        <v>8.0208999999999993</v>
      </c>
      <c r="AT108" s="7">
        <f>IFERROR(_xlfn.XLOOKUP(Table13[[#This Row],[Date]],'Raw Data'!$G:$G,'Raw Data'!$AN:$AN),"")</f>
        <v>0</v>
      </c>
      <c r="AU108" s="7">
        <f>IFERROR(_xlfn.XLOOKUP(Table13[[#This Row],[Month Year]],'Modelling New'!$D:$D,'Modelling New'!$AO:$AO),"")</f>
        <v>8</v>
      </c>
      <c r="AV108" s="7">
        <f>SUMIF('Curtailment Records'!$C:$C,Table13[[#This Row],[Date]],'Curtailment Records'!$R:$R)/1000</f>
        <v>0</v>
      </c>
    </row>
    <row r="109" spans="1:48" x14ac:dyDescent="0.3">
      <c r="A109" s="100">
        <f t="shared" si="7"/>
        <v>45852</v>
      </c>
      <c r="B109" s="101">
        <f>YEAR(Table13[[#This Row],[Date]])+IF(MONTH(Table13[[#This Row],[Date]])&gt;=4,1,0)</f>
        <v>2026</v>
      </c>
      <c r="C109" s="7">
        <f>YEAR(Table13[[#This Row],[Date]])</f>
        <v>2025</v>
      </c>
      <c r="D109" s="102">
        <f>Table13[[#This Row],[Date]]-DAY(Table13[[#This Row],[Date]])+1</f>
        <v>45839</v>
      </c>
      <c r="E109" s="7">
        <f t="shared" si="4"/>
        <v>31</v>
      </c>
      <c r="F109" s="103">
        <f>IFERROR(_xlfn.XLOOKUP($A109,'Raw Data'!$G:$G,'Raw Data'!$AM:$AM),"")</f>
        <v>12.75</v>
      </c>
      <c r="G109" s="104">
        <f>IFERROR(_xlfn.XLOOKUP($A109,'Raw Data'!$G:$G,'Raw Data'!$AB:$AB),"")</f>
        <v>0</v>
      </c>
      <c r="H109" s="104"/>
      <c r="I109" s="104">
        <f>IFERROR(_xlfn.XLOOKUP($A109,'Raw Data'!$G:$G,'Raw Data'!$AC:$AC),"")</f>
        <v>5.79</v>
      </c>
      <c r="J109" s="104"/>
      <c r="K109" s="104">
        <f>IFERROR(_xlfn.XLOOKUP($A109,'Raw Data'!$G:$G,'Raw Data'!AD:AD),"")</f>
        <v>0</v>
      </c>
      <c r="L109" s="104">
        <f>IFERROR(_xlfn.XLOOKUP($A109,'Raw Data'!$G:$G,'Raw Data'!AE:AE),"")</f>
        <v>37.83</v>
      </c>
      <c r="M109" s="104">
        <f>IFERROR(_xlfn.XLOOKUP($A109,'Raw Data'!$G:$G,'Raw Data'!AF:AF),"")</f>
        <v>0</v>
      </c>
      <c r="N109" s="104">
        <f>IFERROR(_xlfn.XLOOKUP($A109,'Raw Data'!$G:$G,'Raw Data'!AG:AG),"")</f>
        <v>0</v>
      </c>
      <c r="O109" s="105">
        <f>IFERROR(1-SUMIF('Plant BD'!$B:$B,$A109,'Plant BD'!$AM:$AM)/($AA109+SUMIF('Plant BD'!$B:$B,$A109,'Plant BD'!$AM:$AM)),"")</f>
        <v>1</v>
      </c>
      <c r="P109" s="105"/>
      <c r="Q109" s="106"/>
      <c r="R109" s="105">
        <f>IFERROR(1-SUMIF('Grid BD'!$B:$B,$A109,'Grid BD'!$AE:$AE)/($AA109+SUMIF('Grid BD'!$B:$B,$A109,'Grid BD'!$AE:$AE)),"")</f>
        <v>1</v>
      </c>
      <c r="T109" s="106"/>
      <c r="U109" s="107">
        <f t="shared" si="5"/>
        <v>0.77948346128818968</v>
      </c>
      <c r="V109" s="107"/>
      <c r="W109" s="108">
        <f t="shared" si="6"/>
        <v>0.18805038503577573</v>
      </c>
      <c r="X109" s="101">
        <f>IFERROR(_xlfn.XLOOKUP($A109,'Raw Data'!$G:$G,'Raw Data'!AI:AI),"")</f>
        <v>36643.800000000003</v>
      </c>
      <c r="Y109" s="101">
        <f>IFERROR(_xlfn.XLOOKUP($A109,'Raw Data'!$G:$G,'Raw Data'!AJ:AJ),"")</f>
        <v>36300.00000000291</v>
      </c>
      <c r="Z109" s="101">
        <f>IFERROR(_xlfn.XLOOKUP($A109,'Raw Data'!$G:$G,'Raw Data'!AK:AK),"")</f>
        <v>100.00000000002274</v>
      </c>
      <c r="AA109" s="101">
        <f>IFERROR(_xlfn.XLOOKUP($A109,'Raw Data'!$G:$G,'Raw Data'!$AL:$AL)*(1+(_xlfn.XLOOKUP(Table13[[#This Row],[Month Year]],JMR!$A:$A,JMR!$J:$J))),"")</f>
        <v>36200.000000002889</v>
      </c>
      <c r="AB109" s="101">
        <f>IFERROR(_xlfn.XLOOKUP($A109,'Raw Data'!$G:$G,'Raw Data'!H:H),"")</f>
        <v>8.0208999999999993</v>
      </c>
      <c r="AC109" s="67">
        <f>IFERROR(_xlfn.XLOOKUP($D109,'Modelling New'!$D:$D,'Modelling New'!P:P),"")</f>
        <v>4.0451612903225804</v>
      </c>
      <c r="AD109" s="101">
        <f>IFERROR(_xlfn.XLOOKUP($D109,'Modelling New'!$D:$D,'Modelling New'!$T:$T)*1000,"")</f>
        <v>22929.949138521675</v>
      </c>
      <c r="AE109" s="109">
        <f>IFERROR(_xlfn.XLOOKUP($D109,'Modelling New'!$D:$D,'Modelling New'!O:O),"")</f>
        <v>0.70671473575739119</v>
      </c>
      <c r="AF109" s="108">
        <f>IFERROR(_xlfn.XLOOKUP($D109,'Modelling New'!$D:$D,'Modelling New'!W:W),"")</f>
        <v>0.11911562884943125</v>
      </c>
      <c r="AG109" s="108">
        <f>IFERROR(_xlfn.XLOOKUP($D109,'Modelling New'!$D:$D,'Modelling New'!AE:AE),"")</f>
        <v>0.98040000000000005</v>
      </c>
      <c r="AH109" s="128">
        <f>IFERROR(_xlfn.XLOOKUP($D109,'Modelling New'!$D:$D,'Modelling New'!AF:AF),"")</f>
        <v>0.98</v>
      </c>
      <c r="AN109" s="105"/>
      <c r="AO109" s="108"/>
      <c r="AP109" s="108"/>
      <c r="AQ109" s="108"/>
      <c r="AR109" s="101">
        <f>'Basic Data'!$B$98/1000</f>
        <v>8.0208999999999993</v>
      </c>
      <c r="AT109" s="7">
        <f>IFERROR(_xlfn.XLOOKUP(Table13[[#This Row],[Date]],'Raw Data'!$G:$G,'Raw Data'!$AN:$AN),"")</f>
        <v>0</v>
      </c>
      <c r="AU109" s="7">
        <f>IFERROR(_xlfn.XLOOKUP(Table13[[#This Row],[Month Year]],'Modelling New'!$D:$D,'Modelling New'!$AO:$AO),"")</f>
        <v>8</v>
      </c>
      <c r="AV109" s="7">
        <f>SUMIF('Curtailment Records'!$C:$C,Table13[[#This Row],[Date]],'Curtailment Records'!$R:$R)/1000</f>
        <v>0</v>
      </c>
    </row>
    <row r="110" spans="1:48" x14ac:dyDescent="0.3">
      <c r="A110" s="100">
        <f t="shared" si="7"/>
        <v>45853</v>
      </c>
      <c r="B110" s="101">
        <f>YEAR(Table13[[#This Row],[Date]])+IF(MONTH(Table13[[#This Row],[Date]])&gt;=4,1,0)</f>
        <v>2026</v>
      </c>
      <c r="C110" s="7">
        <f>YEAR(Table13[[#This Row],[Date]])</f>
        <v>2025</v>
      </c>
      <c r="D110" s="102">
        <f>Table13[[#This Row],[Date]]-DAY(Table13[[#This Row],[Date]])+1</f>
        <v>45839</v>
      </c>
      <c r="E110" s="7">
        <f t="shared" si="4"/>
        <v>31</v>
      </c>
      <c r="F110" s="103">
        <f>IFERROR(_xlfn.XLOOKUP($A110,'Raw Data'!$G:$G,'Raw Data'!$AM:$AM),"")</f>
        <v>12.75</v>
      </c>
      <c r="G110" s="104">
        <f>IFERROR(_xlfn.XLOOKUP($A110,'Raw Data'!$G:$G,'Raw Data'!$AB:$AB),"")</f>
        <v>0</v>
      </c>
      <c r="H110" s="104"/>
      <c r="I110" s="104">
        <f>IFERROR(_xlfn.XLOOKUP($A110,'Raw Data'!$G:$G,'Raw Data'!$AC:$AC),"")</f>
        <v>4.25</v>
      </c>
      <c r="J110" s="104"/>
      <c r="K110" s="104">
        <f>IFERROR(_xlfn.XLOOKUP($A110,'Raw Data'!$G:$G,'Raw Data'!AD:AD),"")</f>
        <v>0</v>
      </c>
      <c r="L110" s="104">
        <f>IFERROR(_xlfn.XLOOKUP($A110,'Raw Data'!$G:$G,'Raw Data'!AE:AE),"")</f>
        <v>35.26</v>
      </c>
      <c r="M110" s="104">
        <f>IFERROR(_xlfn.XLOOKUP($A110,'Raw Data'!$G:$G,'Raw Data'!AF:AF),"")</f>
        <v>0</v>
      </c>
      <c r="N110" s="104">
        <f>IFERROR(_xlfn.XLOOKUP($A110,'Raw Data'!$G:$G,'Raw Data'!AG:AG),"")</f>
        <v>0</v>
      </c>
      <c r="O110" s="105">
        <f>IFERROR(1-SUMIF('Plant BD'!$B:$B,$A110,'Plant BD'!$AM:$AM)/($AA110+SUMIF('Plant BD'!$B:$B,$A110,'Plant BD'!$AM:$AM)),"")</f>
        <v>1</v>
      </c>
      <c r="P110" s="105"/>
      <c r="Q110" s="106"/>
      <c r="R110" s="105">
        <f>IFERROR(1-SUMIF('Grid BD'!$B:$B,$A110,'Grid BD'!$AE:$AE)/($AA110+SUMIF('Grid BD'!$B:$B,$A110,'Grid BD'!$AE:$AE)),"")</f>
        <v>1</v>
      </c>
      <c r="T110" s="106"/>
      <c r="U110" s="107">
        <f t="shared" si="5"/>
        <v>0.82578381625063446</v>
      </c>
      <c r="V110" s="107"/>
      <c r="W110" s="108">
        <f t="shared" si="6"/>
        <v>0.14623255079438319</v>
      </c>
      <c r="X110" s="101">
        <f>IFERROR(_xlfn.XLOOKUP($A110,'Raw Data'!$G:$G,'Raw Data'!AI:AI),"")</f>
        <v>28512.899999999998</v>
      </c>
      <c r="Y110" s="101">
        <f>IFERROR(_xlfn.XLOOKUP($A110,'Raw Data'!$G:$G,'Raw Data'!AJ:AJ),"")</f>
        <v>28250</v>
      </c>
      <c r="Z110" s="101">
        <f>IFERROR(_xlfn.XLOOKUP($A110,'Raw Data'!$G:$G,'Raw Data'!AK:AK),"")</f>
        <v>99.999999999965894</v>
      </c>
      <c r="AA110" s="101">
        <f>IFERROR(_xlfn.XLOOKUP($A110,'Raw Data'!$G:$G,'Raw Data'!$AL:$AL)*(1+(_xlfn.XLOOKUP(Table13[[#This Row],[Month Year]],JMR!$A:$A,JMR!$J:$J))),"")</f>
        <v>28150.000000000033</v>
      </c>
      <c r="AB110" s="101">
        <f>IFERROR(_xlfn.XLOOKUP($A110,'Raw Data'!$G:$G,'Raw Data'!H:H),"")</f>
        <v>8.0208999999999993</v>
      </c>
      <c r="AC110" s="67">
        <f>IFERROR(_xlfn.XLOOKUP($D110,'Modelling New'!$D:$D,'Modelling New'!P:P),"")</f>
        <v>4.0451612903225804</v>
      </c>
      <c r="AD110" s="101">
        <f>IFERROR(_xlfn.XLOOKUP($D110,'Modelling New'!$D:$D,'Modelling New'!$T:$T)*1000,"")</f>
        <v>22929.949138521675</v>
      </c>
      <c r="AE110" s="109">
        <f>IFERROR(_xlfn.XLOOKUP($D110,'Modelling New'!$D:$D,'Modelling New'!O:O),"")</f>
        <v>0.70671473575739119</v>
      </c>
      <c r="AF110" s="108">
        <f>IFERROR(_xlfn.XLOOKUP($D110,'Modelling New'!$D:$D,'Modelling New'!W:W),"")</f>
        <v>0.11911562884943125</v>
      </c>
      <c r="AG110" s="108">
        <f>IFERROR(_xlfn.XLOOKUP($D110,'Modelling New'!$D:$D,'Modelling New'!AE:AE),"")</f>
        <v>0.98040000000000005</v>
      </c>
      <c r="AH110" s="128">
        <f>IFERROR(_xlfn.XLOOKUP($D110,'Modelling New'!$D:$D,'Modelling New'!AF:AF),"")</f>
        <v>0.98</v>
      </c>
      <c r="AN110" s="105"/>
      <c r="AO110" s="108"/>
      <c r="AP110" s="108"/>
      <c r="AQ110" s="108"/>
      <c r="AR110" s="101">
        <f>'Basic Data'!$B$98/1000</f>
        <v>8.0208999999999993</v>
      </c>
      <c r="AT110" s="7">
        <f>IFERROR(_xlfn.XLOOKUP(Table13[[#This Row],[Date]],'Raw Data'!$G:$G,'Raw Data'!$AN:$AN),"")</f>
        <v>0</v>
      </c>
      <c r="AU110" s="7">
        <f>IFERROR(_xlfn.XLOOKUP(Table13[[#This Row],[Month Year]],'Modelling New'!$D:$D,'Modelling New'!$AO:$AO),"")</f>
        <v>8</v>
      </c>
      <c r="AV110" s="7">
        <f>SUMIF('Curtailment Records'!$C:$C,Table13[[#This Row],[Date]],'Curtailment Records'!$R:$R)/1000</f>
        <v>0</v>
      </c>
    </row>
    <row r="111" spans="1:48" x14ac:dyDescent="0.3">
      <c r="A111" s="100">
        <f t="shared" si="7"/>
        <v>45854</v>
      </c>
      <c r="B111" s="101">
        <f>YEAR(Table13[[#This Row],[Date]])+IF(MONTH(Table13[[#This Row],[Date]])&gt;=4,1,0)</f>
        <v>2026</v>
      </c>
      <c r="C111" s="7">
        <f>YEAR(Table13[[#This Row],[Date]])</f>
        <v>2025</v>
      </c>
      <c r="D111" s="102">
        <f>Table13[[#This Row],[Date]]-DAY(Table13[[#This Row],[Date]])+1</f>
        <v>45839</v>
      </c>
      <c r="E111" s="7">
        <f t="shared" si="4"/>
        <v>31</v>
      </c>
      <c r="F111" s="103">
        <f>IFERROR(_xlfn.XLOOKUP($A111,'Raw Data'!$G:$G,'Raw Data'!$AM:$AM),"")</f>
        <v>12.600000000000001</v>
      </c>
      <c r="G111" s="104">
        <f>IFERROR(_xlfn.XLOOKUP($A111,'Raw Data'!$G:$G,'Raw Data'!$AB:$AB),"")</f>
        <v>0</v>
      </c>
      <c r="H111" s="104"/>
      <c r="I111" s="104">
        <f>IFERROR(_xlfn.XLOOKUP($A111,'Raw Data'!$G:$G,'Raw Data'!$AC:$AC),"")</f>
        <v>4.9000000000000004</v>
      </c>
      <c r="J111" s="104"/>
      <c r="K111" s="104">
        <f>IFERROR(_xlfn.XLOOKUP($A111,'Raw Data'!$G:$G,'Raw Data'!AD:AD),"")</f>
        <v>0</v>
      </c>
      <c r="L111" s="104">
        <f>IFERROR(_xlfn.XLOOKUP($A111,'Raw Data'!$G:$G,'Raw Data'!AE:AE),"")</f>
        <v>37.42</v>
      </c>
      <c r="M111" s="104">
        <f>IFERROR(_xlfn.XLOOKUP($A111,'Raw Data'!$G:$G,'Raw Data'!AF:AF),"")</f>
        <v>0</v>
      </c>
      <c r="N111" s="104">
        <f>IFERROR(_xlfn.XLOOKUP($A111,'Raw Data'!$G:$G,'Raw Data'!AG:AG),"")</f>
        <v>0</v>
      </c>
      <c r="O111" s="105">
        <f>IFERROR(1-SUMIF('Plant BD'!$B:$B,$A111,'Plant BD'!$AM:$AM)/($AA111+SUMIF('Plant BD'!$B:$B,$A111,'Plant BD'!$AM:$AM)),"")</f>
        <v>1</v>
      </c>
      <c r="P111" s="105"/>
      <c r="Q111" s="106"/>
      <c r="R111" s="105">
        <f>IFERROR(1-SUMIF('Grid BD'!$B:$B,$A111,'Grid BD'!$AE:$AE)/($AA111+SUMIF('Grid BD'!$B:$B,$A111,'Grid BD'!$AE:$AE)),"")</f>
        <v>0.97287828315657965</v>
      </c>
      <c r="T111" s="106"/>
      <c r="U111" s="107">
        <f t="shared" si="5"/>
        <v>0.77603383609278032</v>
      </c>
      <c r="V111" s="107"/>
      <c r="W111" s="108">
        <f t="shared" si="6"/>
        <v>0.15844024153560929</v>
      </c>
      <c r="X111" s="101">
        <f>IFERROR(_xlfn.XLOOKUP($A111,'Raw Data'!$G:$G,'Raw Data'!AI:AI),"")</f>
        <v>30889.700000000004</v>
      </c>
      <c r="Y111" s="101">
        <f>IFERROR(_xlfn.XLOOKUP($A111,'Raw Data'!$G:$G,'Raw Data'!AJ:AJ),"")</f>
        <v>30599.999999991269</v>
      </c>
      <c r="Z111" s="101">
        <f>IFERROR(_xlfn.XLOOKUP($A111,'Raw Data'!$G:$G,'Raw Data'!AK:AK),"")</f>
        <v>100.00000000002274</v>
      </c>
      <c r="AA111" s="101">
        <f>IFERROR(_xlfn.XLOOKUP($A111,'Raw Data'!$G:$G,'Raw Data'!$AL:$AL)*(1+(_xlfn.XLOOKUP(Table13[[#This Row],[Month Year]],JMR!$A:$A,JMR!$J:$J))),"")</f>
        <v>30499.999999991247</v>
      </c>
      <c r="AB111" s="101">
        <f>IFERROR(_xlfn.XLOOKUP($A111,'Raw Data'!$G:$G,'Raw Data'!H:H),"")</f>
        <v>8.0208999999999993</v>
      </c>
      <c r="AC111" s="67">
        <f>IFERROR(_xlfn.XLOOKUP($D111,'Modelling New'!$D:$D,'Modelling New'!P:P),"")</f>
        <v>4.0451612903225804</v>
      </c>
      <c r="AD111" s="101">
        <f>IFERROR(_xlfn.XLOOKUP($D111,'Modelling New'!$D:$D,'Modelling New'!$T:$T)*1000,"")</f>
        <v>22929.949138521675</v>
      </c>
      <c r="AE111" s="109">
        <f>IFERROR(_xlfn.XLOOKUP($D111,'Modelling New'!$D:$D,'Modelling New'!O:O),"")</f>
        <v>0.70671473575739119</v>
      </c>
      <c r="AF111" s="108">
        <f>IFERROR(_xlfn.XLOOKUP($D111,'Modelling New'!$D:$D,'Modelling New'!W:W),"")</f>
        <v>0.11911562884943125</v>
      </c>
      <c r="AG111" s="108">
        <f>IFERROR(_xlfn.XLOOKUP($D111,'Modelling New'!$D:$D,'Modelling New'!AE:AE),"")</f>
        <v>0.98040000000000005</v>
      </c>
      <c r="AH111" s="128">
        <f>IFERROR(_xlfn.XLOOKUP($D111,'Modelling New'!$D:$D,'Modelling New'!AF:AF),"")</f>
        <v>0.98</v>
      </c>
      <c r="AN111" s="105"/>
      <c r="AO111" s="108"/>
      <c r="AP111" s="108"/>
      <c r="AQ111" s="108"/>
      <c r="AR111" s="101">
        <f>'Basic Data'!$B$98/1000</f>
        <v>8.0208999999999993</v>
      </c>
      <c r="AT111" s="7">
        <f>IFERROR(_xlfn.XLOOKUP(Table13[[#This Row],[Date]],'Raw Data'!$G:$G,'Raw Data'!$AN:$AN),"")</f>
        <v>0</v>
      </c>
      <c r="AU111" s="7">
        <f>IFERROR(_xlfn.XLOOKUP(Table13[[#This Row],[Month Year]],'Modelling New'!$D:$D,'Modelling New'!$AO:$AO),"")</f>
        <v>8</v>
      </c>
      <c r="AV111" s="7">
        <f>SUMIF('Curtailment Records'!$C:$C,Table13[[#This Row],[Date]],'Curtailment Records'!$R:$R)/1000</f>
        <v>0</v>
      </c>
    </row>
    <row r="112" spans="1:48" x14ac:dyDescent="0.3">
      <c r="A112" s="100">
        <f t="shared" si="7"/>
        <v>45855</v>
      </c>
      <c r="B112" s="101">
        <f>YEAR(Table13[[#This Row],[Date]])+IF(MONTH(Table13[[#This Row],[Date]])&gt;=4,1,0)</f>
        <v>2026</v>
      </c>
      <c r="C112" s="7">
        <f>YEAR(Table13[[#This Row],[Date]])</f>
        <v>2025</v>
      </c>
      <c r="D112" s="102">
        <f>Table13[[#This Row],[Date]]-DAY(Table13[[#This Row],[Date]])+1</f>
        <v>45839</v>
      </c>
      <c r="E112" s="7">
        <f t="shared" si="4"/>
        <v>31</v>
      </c>
      <c r="F112" s="103">
        <f>IFERROR(_xlfn.XLOOKUP($A112,'Raw Data'!$G:$G,'Raw Data'!$AM:$AM),"")</f>
        <v>12.350000000000001</v>
      </c>
      <c r="G112" s="104">
        <f>IFERROR(_xlfn.XLOOKUP($A112,'Raw Data'!$G:$G,'Raw Data'!$AB:$AB),"")</f>
        <v>0</v>
      </c>
      <c r="H112" s="104"/>
      <c r="I112" s="104">
        <f>IFERROR(_xlfn.XLOOKUP($A112,'Raw Data'!$G:$G,'Raw Data'!$AC:$AC),"")</f>
        <v>4.17</v>
      </c>
      <c r="J112" s="104"/>
      <c r="K112" s="104">
        <f>IFERROR(_xlfn.XLOOKUP($A112,'Raw Data'!$G:$G,'Raw Data'!AD:AD),"")</f>
        <v>0</v>
      </c>
      <c r="L112" s="104">
        <f>IFERROR(_xlfn.XLOOKUP($A112,'Raw Data'!$G:$G,'Raw Data'!AE:AE),"")</f>
        <v>36.18</v>
      </c>
      <c r="M112" s="104">
        <f>IFERROR(_xlfn.XLOOKUP($A112,'Raw Data'!$G:$G,'Raw Data'!AF:AF),"")</f>
        <v>0</v>
      </c>
      <c r="N112" s="104">
        <f>IFERROR(_xlfn.XLOOKUP($A112,'Raw Data'!$G:$G,'Raw Data'!AG:AG),"")</f>
        <v>0</v>
      </c>
      <c r="O112" s="105">
        <f>IFERROR(1-SUMIF('Plant BD'!$B:$B,$A112,'Plant BD'!$AM:$AM)/($AA112+SUMIF('Plant BD'!$B:$B,$A112,'Plant BD'!$AM:$AM)),"")</f>
        <v>1</v>
      </c>
      <c r="P112" s="105"/>
      <c r="Q112" s="106"/>
      <c r="R112" s="105">
        <f>IFERROR(1-SUMIF('Grid BD'!$B:$B,$A112,'Grid BD'!$AE:$AE)/($AA112+SUMIF('Grid BD'!$B:$B,$A112,'Grid BD'!$AE:$AE)),"")</f>
        <v>0.78850904378670972</v>
      </c>
      <c r="T112" s="106"/>
      <c r="U112" s="107">
        <f t="shared" si="5"/>
        <v>0.61290717329531164</v>
      </c>
      <c r="V112" s="107"/>
      <c r="W112" s="108">
        <f t="shared" si="6"/>
        <v>0.10649262136006038</v>
      </c>
      <c r="X112" s="101">
        <f>IFERROR(_xlfn.XLOOKUP($A112,'Raw Data'!$G:$G,'Raw Data'!AI:AI),"")</f>
        <v>20769</v>
      </c>
      <c r="Y112" s="101">
        <f>IFERROR(_xlfn.XLOOKUP($A112,'Raw Data'!$G:$G,'Raw Data'!AJ:AJ),"")</f>
        <v>20600.000000005821</v>
      </c>
      <c r="Z112" s="101">
        <f>IFERROR(_xlfn.XLOOKUP($A112,'Raw Data'!$G:$G,'Raw Data'!AK:AK),"")</f>
        <v>100.00000000002274</v>
      </c>
      <c r="AA112" s="101">
        <f>IFERROR(_xlfn.XLOOKUP($A112,'Raw Data'!$G:$G,'Raw Data'!$AL:$AL)*(1+(_xlfn.XLOOKUP(Table13[[#This Row],[Month Year]],JMR!$A:$A,JMR!$J:$J))),"")</f>
        <v>20500.000000005799</v>
      </c>
      <c r="AB112" s="101">
        <f>IFERROR(_xlfn.XLOOKUP($A112,'Raw Data'!$G:$G,'Raw Data'!H:H),"")</f>
        <v>8.0208999999999993</v>
      </c>
      <c r="AC112" s="67">
        <f>IFERROR(_xlfn.XLOOKUP($D112,'Modelling New'!$D:$D,'Modelling New'!P:P),"")</f>
        <v>4.0451612903225804</v>
      </c>
      <c r="AD112" s="101">
        <f>IFERROR(_xlfn.XLOOKUP($D112,'Modelling New'!$D:$D,'Modelling New'!$T:$T)*1000,"")</f>
        <v>22929.949138521675</v>
      </c>
      <c r="AE112" s="109">
        <f>IFERROR(_xlfn.XLOOKUP($D112,'Modelling New'!$D:$D,'Modelling New'!O:O),"")</f>
        <v>0.70671473575739119</v>
      </c>
      <c r="AF112" s="108">
        <f>IFERROR(_xlfn.XLOOKUP($D112,'Modelling New'!$D:$D,'Modelling New'!W:W),"")</f>
        <v>0.11911562884943125</v>
      </c>
      <c r="AG112" s="108">
        <f>IFERROR(_xlfn.XLOOKUP($D112,'Modelling New'!$D:$D,'Modelling New'!AE:AE),"")</f>
        <v>0.98040000000000005</v>
      </c>
      <c r="AH112" s="128">
        <f>IFERROR(_xlfn.XLOOKUP($D112,'Modelling New'!$D:$D,'Modelling New'!AF:AF),"")</f>
        <v>0.98</v>
      </c>
      <c r="AN112" s="105"/>
      <c r="AO112" s="108"/>
      <c r="AP112" s="108"/>
      <c r="AQ112" s="108"/>
      <c r="AR112" s="101">
        <f>'Basic Data'!$B$98/1000</f>
        <v>8.0208999999999993</v>
      </c>
      <c r="AT112" s="7">
        <f>IFERROR(_xlfn.XLOOKUP(Table13[[#This Row],[Date]],'Raw Data'!$G:$G,'Raw Data'!$AN:$AN),"")</f>
        <v>0</v>
      </c>
      <c r="AU112" s="7">
        <f>IFERROR(_xlfn.XLOOKUP(Table13[[#This Row],[Month Year]],'Modelling New'!$D:$D,'Modelling New'!$AO:$AO),"")</f>
        <v>8</v>
      </c>
      <c r="AV112" s="7">
        <f>SUMIF('Curtailment Records'!$C:$C,Table13[[#This Row],[Date]],'Curtailment Records'!$R:$R)/1000</f>
        <v>0</v>
      </c>
    </row>
    <row r="113" spans="1:48" x14ac:dyDescent="0.3">
      <c r="A113" s="100">
        <f t="shared" si="7"/>
        <v>45856</v>
      </c>
      <c r="B113" s="101">
        <f>YEAR(Table13[[#This Row],[Date]])+IF(MONTH(Table13[[#This Row],[Date]])&gt;=4,1,0)</f>
        <v>2026</v>
      </c>
      <c r="C113" s="7">
        <f>YEAR(Table13[[#This Row],[Date]])</f>
        <v>2025</v>
      </c>
      <c r="D113" s="102">
        <f>Table13[[#This Row],[Date]]-DAY(Table13[[#This Row],[Date]])+1</f>
        <v>45839</v>
      </c>
      <c r="E113" s="7">
        <f t="shared" si="4"/>
        <v>31</v>
      </c>
      <c r="F113" s="103">
        <f>IFERROR(_xlfn.XLOOKUP($A113,'Raw Data'!$G:$G,'Raw Data'!$AM:$AM),"")</f>
        <v>10.633333333333333</v>
      </c>
      <c r="G113" s="104">
        <f>IFERROR(_xlfn.XLOOKUP($A113,'Raw Data'!$G:$G,'Raw Data'!$AB:$AB),"")</f>
        <v>0</v>
      </c>
      <c r="H113" s="104"/>
      <c r="I113" s="104">
        <f>IFERROR(_xlfn.XLOOKUP($A113,'Raw Data'!$G:$G,'Raw Data'!$AC:$AC),"")</f>
        <v>3.83</v>
      </c>
      <c r="J113" s="104"/>
      <c r="K113" s="104">
        <f>IFERROR(_xlfn.XLOOKUP($A113,'Raw Data'!$G:$G,'Raw Data'!AD:AD),"")</f>
        <v>0</v>
      </c>
      <c r="L113" s="104">
        <f>IFERROR(_xlfn.XLOOKUP($A113,'Raw Data'!$G:$G,'Raw Data'!AE:AE),"")</f>
        <v>35.700000000000003</v>
      </c>
      <c r="M113" s="104">
        <f>IFERROR(_xlfn.XLOOKUP($A113,'Raw Data'!$G:$G,'Raw Data'!AF:AF),"")</f>
        <v>0</v>
      </c>
      <c r="N113" s="104">
        <f>IFERROR(_xlfn.XLOOKUP($A113,'Raw Data'!$G:$G,'Raw Data'!AG:AG),"")</f>
        <v>0</v>
      </c>
      <c r="O113" s="105">
        <f>IFERROR(1-SUMIF('Plant BD'!$B:$B,$A113,'Plant BD'!$AM:$AM)/($AA113+SUMIF('Plant BD'!$B:$B,$A113,'Plant BD'!$AM:$AM)),"")</f>
        <v>1</v>
      </c>
      <c r="P113" s="105"/>
      <c r="Q113" s="106"/>
      <c r="R113" s="105">
        <f>IFERROR(1-SUMIF('Grid BD'!$B:$B,$A113,'Grid BD'!$AE:$AE)/($AA113+SUMIF('Grid BD'!$B:$B,$A113,'Grid BD'!$AE:$AE)),"")</f>
        <v>1</v>
      </c>
      <c r="T113" s="106"/>
      <c r="U113" s="107">
        <f t="shared" si="5"/>
        <v>0.80729043155416447</v>
      </c>
      <c r="V113" s="107"/>
      <c r="W113" s="108">
        <f t="shared" si="6"/>
        <v>0.12883009803551873</v>
      </c>
      <c r="X113" s="101">
        <f>IFERROR(_xlfn.XLOOKUP($A113,'Raw Data'!$G:$G,'Raw Data'!AI:AI),"")</f>
        <v>25135.899999999998</v>
      </c>
      <c r="Y113" s="101">
        <f>IFERROR(_xlfn.XLOOKUP($A113,'Raw Data'!$G:$G,'Raw Data'!AJ:AJ),"")</f>
        <v>24899.999999994179</v>
      </c>
      <c r="Z113" s="101">
        <f>IFERROR(_xlfn.XLOOKUP($A113,'Raw Data'!$G:$G,'Raw Data'!AK:AK),"")</f>
        <v>99.999999999965894</v>
      </c>
      <c r="AA113" s="101">
        <f>IFERROR(_xlfn.XLOOKUP($A113,'Raw Data'!$G:$G,'Raw Data'!$AL:$AL)*(1+(_xlfn.XLOOKUP(Table13[[#This Row],[Month Year]],JMR!$A:$A,JMR!$J:$J))),"")</f>
        <v>24799.999999994212</v>
      </c>
      <c r="AB113" s="101">
        <f>IFERROR(_xlfn.XLOOKUP($A113,'Raw Data'!$G:$G,'Raw Data'!H:H),"")</f>
        <v>8.0208999999999993</v>
      </c>
      <c r="AC113" s="67">
        <f>IFERROR(_xlfn.XLOOKUP($D113,'Modelling New'!$D:$D,'Modelling New'!P:P),"")</f>
        <v>4.0451612903225804</v>
      </c>
      <c r="AD113" s="101">
        <f>IFERROR(_xlfn.XLOOKUP($D113,'Modelling New'!$D:$D,'Modelling New'!$T:$T)*1000,"")</f>
        <v>22929.949138521675</v>
      </c>
      <c r="AE113" s="109">
        <f>IFERROR(_xlfn.XLOOKUP($D113,'Modelling New'!$D:$D,'Modelling New'!O:O),"")</f>
        <v>0.70671473575739119</v>
      </c>
      <c r="AF113" s="108">
        <f>IFERROR(_xlfn.XLOOKUP($D113,'Modelling New'!$D:$D,'Modelling New'!W:W),"")</f>
        <v>0.11911562884943125</v>
      </c>
      <c r="AG113" s="108">
        <f>IFERROR(_xlfn.XLOOKUP($D113,'Modelling New'!$D:$D,'Modelling New'!AE:AE),"")</f>
        <v>0.98040000000000005</v>
      </c>
      <c r="AH113" s="128">
        <f>IFERROR(_xlfn.XLOOKUP($D113,'Modelling New'!$D:$D,'Modelling New'!AF:AF),"")</f>
        <v>0.98</v>
      </c>
      <c r="AN113" s="105"/>
      <c r="AO113" s="108"/>
      <c r="AP113" s="108"/>
      <c r="AQ113" s="108"/>
      <c r="AR113" s="101">
        <f>'Basic Data'!$B$98/1000</f>
        <v>8.0208999999999993</v>
      </c>
      <c r="AT113" s="7">
        <f>IFERROR(_xlfn.XLOOKUP(Table13[[#This Row],[Date]],'Raw Data'!$G:$G,'Raw Data'!$AN:$AN),"")</f>
        <v>0</v>
      </c>
      <c r="AU113" s="7">
        <f>IFERROR(_xlfn.XLOOKUP(Table13[[#This Row],[Month Year]],'Modelling New'!$D:$D,'Modelling New'!$AO:$AO),"")</f>
        <v>8</v>
      </c>
      <c r="AV113" s="7">
        <f>SUMIF('Curtailment Records'!$C:$C,Table13[[#This Row],[Date]],'Curtailment Records'!$R:$R)/1000</f>
        <v>0</v>
      </c>
    </row>
    <row r="114" spans="1:48" x14ac:dyDescent="0.3">
      <c r="A114" s="100">
        <f t="shared" si="7"/>
        <v>45857</v>
      </c>
      <c r="B114" s="101">
        <f>YEAR(Table13[[#This Row],[Date]])+IF(MONTH(Table13[[#This Row],[Date]])&gt;=4,1,0)</f>
        <v>2026</v>
      </c>
      <c r="C114" s="7">
        <f>YEAR(Table13[[#This Row],[Date]])</f>
        <v>2025</v>
      </c>
      <c r="D114" s="102">
        <f>Table13[[#This Row],[Date]]-DAY(Table13[[#This Row],[Date]])+1</f>
        <v>45839</v>
      </c>
      <c r="E114" s="7">
        <f t="shared" si="4"/>
        <v>31</v>
      </c>
      <c r="F114" s="103">
        <f>IFERROR(_xlfn.XLOOKUP($A114,'Raw Data'!$G:$G,'Raw Data'!$AM:$AM),"")</f>
        <v>12.166666666666666</v>
      </c>
      <c r="G114" s="104">
        <f>IFERROR(_xlfn.XLOOKUP($A114,'Raw Data'!$G:$G,'Raw Data'!$AB:$AB),"")</f>
        <v>0</v>
      </c>
      <c r="H114" s="104"/>
      <c r="I114" s="104">
        <f>IFERROR(_xlfn.XLOOKUP($A114,'Raw Data'!$G:$G,'Raw Data'!$AC:$AC),"")</f>
        <v>3.72</v>
      </c>
      <c r="J114" s="104"/>
      <c r="K114" s="104">
        <f>IFERROR(_xlfn.XLOOKUP($A114,'Raw Data'!$G:$G,'Raw Data'!AD:AD),"")</f>
        <v>0</v>
      </c>
      <c r="L114" s="104">
        <f>IFERROR(_xlfn.XLOOKUP($A114,'Raw Data'!$G:$G,'Raw Data'!AE:AE),"")</f>
        <v>33.1</v>
      </c>
      <c r="M114" s="104">
        <f>IFERROR(_xlfn.XLOOKUP($A114,'Raw Data'!$G:$G,'Raw Data'!AF:AF),"")</f>
        <v>0</v>
      </c>
      <c r="N114" s="104">
        <f>IFERROR(_xlfn.XLOOKUP($A114,'Raw Data'!$G:$G,'Raw Data'!AG:AG),"")</f>
        <v>0</v>
      </c>
      <c r="O114" s="105">
        <f>IFERROR(1-SUMIF('Plant BD'!$B:$B,$A114,'Plant BD'!$AM:$AM)/($AA114+SUMIF('Plant BD'!$B:$B,$A114,'Plant BD'!$AM:$AM)),"")</f>
        <v>0.98312626879817433</v>
      </c>
      <c r="P114" s="105"/>
      <c r="Q114" s="106"/>
      <c r="R114" s="105">
        <f>IFERROR(1-SUMIF('Grid BD'!$B:$B,$A114,'Grid BD'!$AE:$AE)/($AA114+SUMIF('Grid BD'!$B:$B,$A114,'Grid BD'!$AE:$AE)),"")</f>
        <v>1</v>
      </c>
      <c r="T114" s="106"/>
      <c r="U114" s="107">
        <f t="shared" si="5"/>
        <v>0.78089003231774423</v>
      </c>
      <c r="V114" s="107"/>
      <c r="W114" s="108">
        <f t="shared" si="6"/>
        <v>0.12103795500925035</v>
      </c>
      <c r="X114" s="101">
        <f>IFERROR(_xlfn.XLOOKUP($A114,'Raw Data'!$G:$G,'Raw Data'!AI:AI),"")</f>
        <v>23601.4</v>
      </c>
      <c r="Y114" s="101">
        <f>IFERROR(_xlfn.XLOOKUP($A114,'Raw Data'!$G:$G,'Raw Data'!AJ:AJ),"")</f>
        <v>23400.000000008731</v>
      </c>
      <c r="Z114" s="101">
        <f>IFERROR(_xlfn.XLOOKUP($A114,'Raw Data'!$G:$G,'Raw Data'!AK:AK),"")</f>
        <v>100.00000000002274</v>
      </c>
      <c r="AA114" s="101">
        <f>IFERROR(_xlfn.XLOOKUP($A114,'Raw Data'!$G:$G,'Raw Data'!$AL:$AL)*(1+(_xlfn.XLOOKUP(Table13[[#This Row],[Month Year]],JMR!$A:$A,JMR!$J:$J))),"")</f>
        <v>23300.000000008709</v>
      </c>
      <c r="AB114" s="101">
        <f>IFERROR(_xlfn.XLOOKUP($A114,'Raw Data'!$G:$G,'Raw Data'!H:H),"")</f>
        <v>8.0208999999999993</v>
      </c>
      <c r="AC114" s="67">
        <f>IFERROR(_xlfn.XLOOKUP($D114,'Modelling New'!$D:$D,'Modelling New'!P:P),"")</f>
        <v>4.0451612903225804</v>
      </c>
      <c r="AD114" s="101">
        <f>IFERROR(_xlfn.XLOOKUP($D114,'Modelling New'!$D:$D,'Modelling New'!$T:$T)*1000,"")</f>
        <v>22929.949138521675</v>
      </c>
      <c r="AE114" s="109">
        <f>IFERROR(_xlfn.XLOOKUP($D114,'Modelling New'!$D:$D,'Modelling New'!O:O),"")</f>
        <v>0.70671473575739119</v>
      </c>
      <c r="AF114" s="108">
        <f>IFERROR(_xlfn.XLOOKUP($D114,'Modelling New'!$D:$D,'Modelling New'!W:W),"")</f>
        <v>0.11911562884943125</v>
      </c>
      <c r="AG114" s="108">
        <f>IFERROR(_xlfn.XLOOKUP($D114,'Modelling New'!$D:$D,'Modelling New'!AE:AE),"")</f>
        <v>0.98040000000000005</v>
      </c>
      <c r="AH114" s="128">
        <f>IFERROR(_xlfn.XLOOKUP($D114,'Modelling New'!$D:$D,'Modelling New'!AF:AF),"")</f>
        <v>0.98</v>
      </c>
      <c r="AN114" s="105"/>
      <c r="AO114" s="108"/>
      <c r="AP114" s="108"/>
      <c r="AQ114" s="108"/>
      <c r="AR114" s="101">
        <f>'Basic Data'!$B$98/1000</f>
        <v>8.0208999999999993</v>
      </c>
      <c r="AT114" s="7">
        <f>IFERROR(_xlfn.XLOOKUP(Table13[[#This Row],[Date]],'Raw Data'!$G:$G,'Raw Data'!$AN:$AN),"")</f>
        <v>0</v>
      </c>
      <c r="AU114" s="7">
        <f>IFERROR(_xlfn.XLOOKUP(Table13[[#This Row],[Month Year]],'Modelling New'!$D:$D,'Modelling New'!$AO:$AO),"")</f>
        <v>8</v>
      </c>
      <c r="AV114" s="7">
        <f>SUMIF('Curtailment Records'!$C:$C,Table13[[#This Row],[Date]],'Curtailment Records'!$R:$R)/1000</f>
        <v>0</v>
      </c>
    </row>
    <row r="115" spans="1:48" x14ac:dyDescent="0.3">
      <c r="A115" s="100">
        <f t="shared" si="7"/>
        <v>45858</v>
      </c>
      <c r="B115" s="101">
        <f>YEAR(Table13[[#This Row],[Date]])+IF(MONTH(Table13[[#This Row],[Date]])&gt;=4,1,0)</f>
        <v>2026</v>
      </c>
      <c r="C115" s="7">
        <f>YEAR(Table13[[#This Row],[Date]])</f>
        <v>2025</v>
      </c>
      <c r="D115" s="102">
        <f>Table13[[#This Row],[Date]]-DAY(Table13[[#This Row],[Date]])+1</f>
        <v>45839</v>
      </c>
      <c r="E115" s="7">
        <f t="shared" si="4"/>
        <v>31</v>
      </c>
      <c r="F115" s="103">
        <f>IFERROR(_xlfn.XLOOKUP($A115,'Raw Data'!$G:$G,'Raw Data'!$AM:$AM),"")</f>
        <v>12.399999999999999</v>
      </c>
      <c r="G115" s="104">
        <f>IFERROR(_xlfn.XLOOKUP($A115,'Raw Data'!$G:$G,'Raw Data'!$AB:$AB),"")</f>
        <v>0</v>
      </c>
      <c r="H115" s="104"/>
      <c r="I115" s="104">
        <f>IFERROR(_xlfn.XLOOKUP($A115,'Raw Data'!$G:$G,'Raw Data'!$AC:$AC),"")</f>
        <v>4.76</v>
      </c>
      <c r="J115" s="104"/>
      <c r="K115" s="104">
        <f>IFERROR(_xlfn.XLOOKUP($A115,'Raw Data'!$G:$G,'Raw Data'!AD:AD),"")</f>
        <v>0</v>
      </c>
      <c r="L115" s="104">
        <f>IFERROR(_xlfn.XLOOKUP($A115,'Raw Data'!$G:$G,'Raw Data'!AE:AE),"")</f>
        <v>36.56</v>
      </c>
      <c r="M115" s="104">
        <f>IFERROR(_xlfn.XLOOKUP($A115,'Raw Data'!$G:$G,'Raw Data'!AF:AF),"")</f>
        <v>0</v>
      </c>
      <c r="N115" s="104">
        <f>IFERROR(_xlfn.XLOOKUP($A115,'Raw Data'!$G:$G,'Raw Data'!AG:AG),"")</f>
        <v>0</v>
      </c>
      <c r="O115" s="105">
        <f>IFERROR(1-SUMIF('Plant BD'!$B:$B,$A115,'Plant BD'!$AM:$AM)/($AA115+SUMIF('Plant BD'!$B:$B,$A115,'Plant BD'!$AM:$AM)),"")</f>
        <v>1</v>
      </c>
      <c r="P115" s="105"/>
      <c r="Q115" s="106"/>
      <c r="R115" s="105">
        <f>IFERROR(1-SUMIF('Grid BD'!$B:$B,$A115,'Grid BD'!$AE:$AE)/($AA115+SUMIF('Grid BD'!$B:$B,$A115,'Grid BD'!$AE:$AE)),"")</f>
        <v>1</v>
      </c>
      <c r="T115" s="106"/>
      <c r="U115" s="107">
        <f t="shared" si="5"/>
        <v>0.7936199452039272</v>
      </c>
      <c r="V115" s="107"/>
      <c r="W115" s="108">
        <f t="shared" si="6"/>
        <v>0.15740128913211221</v>
      </c>
      <c r="X115" s="101">
        <f>IFERROR(_xlfn.XLOOKUP($A115,'Raw Data'!$G:$G,'Raw Data'!AI:AI),"")</f>
        <v>30663.299999999996</v>
      </c>
      <c r="Y115" s="101">
        <f>IFERROR(_xlfn.XLOOKUP($A115,'Raw Data'!$G:$G,'Raw Data'!AJ:AJ),"")</f>
        <v>30399.999999994179</v>
      </c>
      <c r="Z115" s="101">
        <f>IFERROR(_xlfn.XLOOKUP($A115,'Raw Data'!$G:$G,'Raw Data'!AK:AK),"")</f>
        <v>99.999999999965894</v>
      </c>
      <c r="AA115" s="101">
        <f>IFERROR(_xlfn.XLOOKUP($A115,'Raw Data'!$G:$G,'Raw Data'!$AL:$AL)*(1+(_xlfn.XLOOKUP(Table13[[#This Row],[Month Year]],JMR!$A:$A,JMR!$J:$J))),"")</f>
        <v>30299.999999994212</v>
      </c>
      <c r="AB115" s="101">
        <f>IFERROR(_xlfn.XLOOKUP($A115,'Raw Data'!$G:$G,'Raw Data'!H:H),"")</f>
        <v>8.0208999999999993</v>
      </c>
      <c r="AC115" s="67">
        <f>IFERROR(_xlfn.XLOOKUP($D115,'Modelling New'!$D:$D,'Modelling New'!P:P),"")</f>
        <v>4.0451612903225804</v>
      </c>
      <c r="AD115" s="101">
        <f>IFERROR(_xlfn.XLOOKUP($D115,'Modelling New'!$D:$D,'Modelling New'!$T:$T)*1000,"")</f>
        <v>22929.949138521675</v>
      </c>
      <c r="AE115" s="109">
        <f>IFERROR(_xlfn.XLOOKUP($D115,'Modelling New'!$D:$D,'Modelling New'!O:O),"")</f>
        <v>0.70671473575739119</v>
      </c>
      <c r="AF115" s="108">
        <f>IFERROR(_xlfn.XLOOKUP($D115,'Modelling New'!$D:$D,'Modelling New'!W:W),"")</f>
        <v>0.11911562884943125</v>
      </c>
      <c r="AG115" s="108">
        <f>IFERROR(_xlfn.XLOOKUP($D115,'Modelling New'!$D:$D,'Modelling New'!AE:AE),"")</f>
        <v>0.98040000000000005</v>
      </c>
      <c r="AH115" s="128">
        <f>IFERROR(_xlfn.XLOOKUP($D115,'Modelling New'!$D:$D,'Modelling New'!AF:AF),"")</f>
        <v>0.98</v>
      </c>
      <c r="AN115" s="105"/>
      <c r="AO115" s="108"/>
      <c r="AP115" s="108"/>
      <c r="AQ115" s="108"/>
      <c r="AR115" s="101">
        <f>'Basic Data'!$B$98/1000</f>
        <v>8.0208999999999993</v>
      </c>
      <c r="AT115" s="7">
        <f>IFERROR(_xlfn.XLOOKUP(Table13[[#This Row],[Date]],'Raw Data'!$G:$G,'Raw Data'!$AN:$AN),"")</f>
        <v>0</v>
      </c>
      <c r="AU115" s="7">
        <f>IFERROR(_xlfn.XLOOKUP(Table13[[#This Row],[Month Year]],'Modelling New'!$D:$D,'Modelling New'!$AO:$AO),"")</f>
        <v>8</v>
      </c>
      <c r="AV115" s="7">
        <f>SUMIF('Curtailment Records'!$C:$C,Table13[[#This Row],[Date]],'Curtailment Records'!$R:$R)/1000</f>
        <v>0</v>
      </c>
    </row>
    <row r="116" spans="1:48" x14ac:dyDescent="0.3">
      <c r="A116" s="100">
        <f t="shared" si="7"/>
        <v>45859</v>
      </c>
      <c r="B116" s="101">
        <f>YEAR(Table13[[#This Row],[Date]])+IF(MONTH(Table13[[#This Row],[Date]])&gt;=4,1,0)</f>
        <v>2026</v>
      </c>
      <c r="C116" s="7">
        <f>YEAR(Table13[[#This Row],[Date]])</f>
        <v>2025</v>
      </c>
      <c r="D116" s="102">
        <f>Table13[[#This Row],[Date]]-DAY(Table13[[#This Row],[Date]])+1</f>
        <v>45839</v>
      </c>
      <c r="E116" s="7">
        <f t="shared" si="4"/>
        <v>31</v>
      </c>
      <c r="F116" s="103">
        <f>IFERROR(_xlfn.XLOOKUP($A116,'Raw Data'!$G:$G,'Raw Data'!$AM:$AM),"")</f>
        <v>12.616666666666667</v>
      </c>
      <c r="G116" s="104">
        <f>IFERROR(_xlfn.XLOOKUP($A116,'Raw Data'!$G:$G,'Raw Data'!$AB:$AB),"")</f>
        <v>0</v>
      </c>
      <c r="H116" s="104"/>
      <c r="I116" s="104">
        <f>IFERROR(_xlfn.XLOOKUP($A116,'Raw Data'!$G:$G,'Raw Data'!$AC:$AC),"")</f>
        <v>4.0999999999999996</v>
      </c>
      <c r="J116" s="104"/>
      <c r="K116" s="104">
        <f>IFERROR(_xlfn.XLOOKUP($A116,'Raw Data'!$G:$G,'Raw Data'!AD:AD),"")</f>
        <v>0</v>
      </c>
      <c r="L116" s="104">
        <f>IFERROR(_xlfn.XLOOKUP($A116,'Raw Data'!$G:$G,'Raw Data'!AE:AE),"")</f>
        <v>35.08</v>
      </c>
      <c r="M116" s="104">
        <f>IFERROR(_xlfn.XLOOKUP($A116,'Raw Data'!$G:$G,'Raw Data'!AF:AF),"")</f>
        <v>0</v>
      </c>
      <c r="N116" s="104">
        <f>IFERROR(_xlfn.XLOOKUP($A116,'Raw Data'!$G:$G,'Raw Data'!AG:AG),"")</f>
        <v>0</v>
      </c>
      <c r="O116" s="105">
        <f>IFERROR(1-SUMIF('Plant BD'!$B:$B,$A116,'Plant BD'!$AM:$AM)/($AA116+SUMIF('Plant BD'!$B:$B,$A116,'Plant BD'!$AM:$AM)),"")</f>
        <v>0.98854463135794912</v>
      </c>
      <c r="P116" s="105"/>
      <c r="Q116" s="106"/>
      <c r="R116" s="105">
        <f>IFERROR(1-SUMIF('Grid BD'!$B:$B,$A116,'Grid BD'!$AE:$AE)/($AA116+SUMIF('Grid BD'!$B:$B,$A116,'Grid BD'!$AE:$AE)),"")</f>
        <v>0.94976632754740642</v>
      </c>
      <c r="T116" s="106"/>
      <c r="U116" s="107">
        <f t="shared" si="5"/>
        <v>0.74956614868047411</v>
      </c>
      <c r="V116" s="107"/>
      <c r="W116" s="108">
        <f t="shared" si="6"/>
        <v>0.12805088373291432</v>
      </c>
      <c r="X116" s="101">
        <f>IFERROR(_xlfn.XLOOKUP($A116,'Raw Data'!$G:$G,'Raw Data'!AI:AI),"")</f>
        <v>24963.5</v>
      </c>
      <c r="Y116" s="101">
        <f>IFERROR(_xlfn.XLOOKUP($A116,'Raw Data'!$G:$G,'Raw Data'!AJ:AJ),"")</f>
        <v>24750</v>
      </c>
      <c r="Z116" s="101">
        <f>IFERROR(_xlfn.XLOOKUP($A116,'Raw Data'!$G:$G,'Raw Data'!AK:AK),"")</f>
        <v>100.00000000002274</v>
      </c>
      <c r="AA116" s="101">
        <f>IFERROR(_xlfn.XLOOKUP($A116,'Raw Data'!$G:$G,'Raw Data'!$AL:$AL)*(1+(_xlfn.XLOOKUP(Table13[[#This Row],[Month Year]],JMR!$A:$A,JMR!$J:$J))),"")</f>
        <v>24649.999999999978</v>
      </c>
      <c r="AB116" s="101">
        <f>IFERROR(_xlfn.XLOOKUP($A116,'Raw Data'!$G:$G,'Raw Data'!H:H),"")</f>
        <v>8.0208999999999993</v>
      </c>
      <c r="AC116" s="67">
        <f>IFERROR(_xlfn.XLOOKUP($D116,'Modelling New'!$D:$D,'Modelling New'!P:P),"")</f>
        <v>4.0451612903225804</v>
      </c>
      <c r="AD116" s="101">
        <f>IFERROR(_xlfn.XLOOKUP($D116,'Modelling New'!$D:$D,'Modelling New'!$T:$T)*1000,"")</f>
        <v>22929.949138521675</v>
      </c>
      <c r="AE116" s="109">
        <f>IFERROR(_xlfn.XLOOKUP($D116,'Modelling New'!$D:$D,'Modelling New'!O:O),"")</f>
        <v>0.70671473575739119</v>
      </c>
      <c r="AF116" s="108">
        <f>IFERROR(_xlfn.XLOOKUP($D116,'Modelling New'!$D:$D,'Modelling New'!W:W),"")</f>
        <v>0.11911562884943125</v>
      </c>
      <c r="AG116" s="108">
        <f>IFERROR(_xlfn.XLOOKUP($D116,'Modelling New'!$D:$D,'Modelling New'!AE:AE),"")</f>
        <v>0.98040000000000005</v>
      </c>
      <c r="AH116" s="128">
        <f>IFERROR(_xlfn.XLOOKUP($D116,'Modelling New'!$D:$D,'Modelling New'!AF:AF),"")</f>
        <v>0.98</v>
      </c>
      <c r="AN116" s="105"/>
      <c r="AO116" s="108"/>
      <c r="AP116" s="108"/>
      <c r="AQ116" s="108"/>
      <c r="AR116" s="101">
        <f>'Basic Data'!$B$98/1000</f>
        <v>8.0208999999999993</v>
      </c>
      <c r="AT116" s="7">
        <f>IFERROR(_xlfn.XLOOKUP(Table13[[#This Row],[Date]],'Raw Data'!$G:$G,'Raw Data'!$AN:$AN),"")</f>
        <v>0</v>
      </c>
      <c r="AU116" s="7">
        <f>IFERROR(_xlfn.XLOOKUP(Table13[[#This Row],[Month Year]],'Modelling New'!$D:$D,'Modelling New'!$AO:$AO),"")</f>
        <v>8</v>
      </c>
      <c r="AV116" s="7">
        <f>SUMIF('Curtailment Records'!$C:$C,Table13[[#This Row],[Date]],'Curtailment Records'!$R:$R)/1000</f>
        <v>0</v>
      </c>
    </row>
    <row r="117" spans="1:48" x14ac:dyDescent="0.3">
      <c r="A117" s="100">
        <f t="shared" si="7"/>
        <v>45860</v>
      </c>
      <c r="B117" s="101">
        <f>YEAR(Table13[[#This Row],[Date]])+IF(MONTH(Table13[[#This Row],[Date]])&gt;=4,1,0)</f>
        <v>2026</v>
      </c>
      <c r="C117" s="7">
        <f>YEAR(Table13[[#This Row],[Date]])</f>
        <v>2025</v>
      </c>
      <c r="D117" s="102">
        <f>Table13[[#This Row],[Date]]-DAY(Table13[[#This Row],[Date]])+1</f>
        <v>45839</v>
      </c>
      <c r="E117" s="7">
        <f t="shared" ref="E117:E180" si="8">DAY(EOMONTH(A117,0))</f>
        <v>31</v>
      </c>
      <c r="F117" s="103">
        <f>IFERROR(_xlfn.XLOOKUP($A117,'Raw Data'!$G:$G,'Raw Data'!$AM:$AM),"")</f>
        <v>12.333333333333332</v>
      </c>
      <c r="G117" s="104">
        <f>IFERROR(_xlfn.XLOOKUP($A117,'Raw Data'!$G:$G,'Raw Data'!$AB:$AB),"")</f>
        <v>0</v>
      </c>
      <c r="H117" s="104"/>
      <c r="I117" s="104">
        <f>IFERROR(_xlfn.XLOOKUP($A117,'Raw Data'!$G:$G,'Raw Data'!$AC:$AC),"")</f>
        <v>4.3</v>
      </c>
      <c r="J117" s="104"/>
      <c r="K117" s="104">
        <f>IFERROR(_xlfn.XLOOKUP($A117,'Raw Data'!$G:$G,'Raw Data'!AD:AD),"")</f>
        <v>0</v>
      </c>
      <c r="L117" s="104">
        <f>IFERROR(_xlfn.XLOOKUP($A117,'Raw Data'!$G:$G,'Raw Data'!AE:AE),"")</f>
        <v>34.57</v>
      </c>
      <c r="M117" s="104">
        <f>IFERROR(_xlfn.XLOOKUP($A117,'Raw Data'!$G:$G,'Raw Data'!AF:AF),"")</f>
        <v>0</v>
      </c>
      <c r="N117" s="104">
        <f>IFERROR(_xlfn.XLOOKUP($A117,'Raw Data'!$G:$G,'Raw Data'!AG:AG),"")</f>
        <v>0</v>
      </c>
      <c r="O117" s="105">
        <f>IFERROR(1-SUMIF('Plant BD'!$B:$B,$A117,'Plant BD'!$AM:$AM)/($AA117+SUMIF('Plant BD'!$B:$B,$A117,'Plant BD'!$AM:$AM)),"")</f>
        <v>1</v>
      </c>
      <c r="P117" s="105"/>
      <c r="Q117" s="106"/>
      <c r="R117" s="105">
        <f>IFERROR(1-SUMIF('Grid BD'!$B:$B,$A117,'Grid BD'!$AE:$AE)/($AA117+SUMIF('Grid BD'!$B:$B,$A117,'Grid BD'!$AE:$AE)),"")</f>
        <v>0.92495383837434897</v>
      </c>
      <c r="T117" s="106"/>
      <c r="U117" s="107">
        <f t="shared" ref="U117:U180" si="9">IFERROR(AA117/I117/AB117/1000,"")</f>
        <v>0.74949543155706499</v>
      </c>
      <c r="V117" s="107"/>
      <c r="W117" s="108">
        <f t="shared" ref="W117:W180" si="10">IFERROR(AA117/(24*AB117*1000),"")</f>
        <v>0.13428459815397414</v>
      </c>
      <c r="X117" s="101">
        <f>IFERROR(_xlfn.XLOOKUP($A117,'Raw Data'!$G:$G,'Raw Data'!AI:AI),"")</f>
        <v>26179.1</v>
      </c>
      <c r="Y117" s="101">
        <f>IFERROR(_xlfn.XLOOKUP($A117,'Raw Data'!$G:$G,'Raw Data'!AJ:AJ),"")</f>
        <v>25949.99999999709</v>
      </c>
      <c r="Z117" s="101">
        <f>IFERROR(_xlfn.XLOOKUP($A117,'Raw Data'!$G:$G,'Raw Data'!AK:AK),"")</f>
        <v>100.00000000002274</v>
      </c>
      <c r="AA117" s="101">
        <f>IFERROR(_xlfn.XLOOKUP($A117,'Raw Data'!$G:$G,'Raw Data'!$AL:$AL)*(1+(_xlfn.XLOOKUP(Table13[[#This Row],[Month Year]],JMR!$A:$A,JMR!$J:$J))),"")</f>
        <v>25849.999999997068</v>
      </c>
      <c r="AB117" s="101">
        <f>IFERROR(_xlfn.XLOOKUP($A117,'Raw Data'!$G:$G,'Raw Data'!H:H),"")</f>
        <v>8.0208999999999993</v>
      </c>
      <c r="AC117" s="67">
        <f>IFERROR(_xlfn.XLOOKUP($D117,'Modelling New'!$D:$D,'Modelling New'!P:P),"")</f>
        <v>4.0451612903225804</v>
      </c>
      <c r="AD117" s="101">
        <f>IFERROR(_xlfn.XLOOKUP($D117,'Modelling New'!$D:$D,'Modelling New'!$T:$T)*1000,"")</f>
        <v>22929.949138521675</v>
      </c>
      <c r="AE117" s="109">
        <f>IFERROR(_xlfn.XLOOKUP($D117,'Modelling New'!$D:$D,'Modelling New'!O:O),"")</f>
        <v>0.70671473575739119</v>
      </c>
      <c r="AF117" s="108">
        <f>IFERROR(_xlfn.XLOOKUP($D117,'Modelling New'!$D:$D,'Modelling New'!W:W),"")</f>
        <v>0.11911562884943125</v>
      </c>
      <c r="AG117" s="108">
        <f>IFERROR(_xlfn.XLOOKUP($D117,'Modelling New'!$D:$D,'Modelling New'!AE:AE),"")</f>
        <v>0.98040000000000005</v>
      </c>
      <c r="AH117" s="128">
        <f>IFERROR(_xlfn.XLOOKUP($D117,'Modelling New'!$D:$D,'Modelling New'!AF:AF),"")</f>
        <v>0.98</v>
      </c>
      <c r="AN117" s="105"/>
      <c r="AO117" s="108"/>
      <c r="AP117" s="108"/>
      <c r="AQ117" s="108"/>
      <c r="AR117" s="101">
        <f>'Basic Data'!$B$98/1000</f>
        <v>8.0208999999999993</v>
      </c>
      <c r="AT117" s="7">
        <f>IFERROR(_xlfn.XLOOKUP(Table13[[#This Row],[Date]],'Raw Data'!$G:$G,'Raw Data'!$AN:$AN),"")</f>
        <v>0</v>
      </c>
      <c r="AU117" s="7">
        <f>IFERROR(_xlfn.XLOOKUP(Table13[[#This Row],[Month Year]],'Modelling New'!$D:$D,'Modelling New'!$AO:$AO),"")</f>
        <v>8</v>
      </c>
      <c r="AV117" s="7">
        <f>SUMIF('Curtailment Records'!$C:$C,Table13[[#This Row],[Date]],'Curtailment Records'!$R:$R)/1000</f>
        <v>0</v>
      </c>
    </row>
    <row r="118" spans="1:48" x14ac:dyDescent="0.3">
      <c r="A118" s="100">
        <f t="shared" ref="A118:A181" si="11">A117+1</f>
        <v>45861</v>
      </c>
      <c r="B118" s="101">
        <f>YEAR(Table13[[#This Row],[Date]])+IF(MONTH(Table13[[#This Row],[Date]])&gt;=4,1,0)</f>
        <v>2026</v>
      </c>
      <c r="C118" s="7">
        <f>YEAR(Table13[[#This Row],[Date]])</f>
        <v>2025</v>
      </c>
      <c r="D118" s="102">
        <f>Table13[[#This Row],[Date]]-DAY(Table13[[#This Row],[Date]])+1</f>
        <v>45839</v>
      </c>
      <c r="E118" s="7">
        <f t="shared" si="8"/>
        <v>31</v>
      </c>
      <c r="F118" s="103">
        <f>IFERROR(_xlfn.XLOOKUP($A118,'Raw Data'!$G:$G,'Raw Data'!$AM:$AM),"")</f>
        <v>12.250000000000002</v>
      </c>
      <c r="G118" s="104">
        <f>IFERROR(_xlfn.XLOOKUP($A118,'Raw Data'!$G:$G,'Raw Data'!$AB:$AB),"")</f>
        <v>0</v>
      </c>
      <c r="H118" s="104"/>
      <c r="I118" s="104">
        <f>IFERROR(_xlfn.XLOOKUP($A118,'Raw Data'!$G:$G,'Raw Data'!$AC:$AC),"")</f>
        <v>2.08</v>
      </c>
      <c r="J118" s="104"/>
      <c r="K118" s="104">
        <f>IFERROR(_xlfn.XLOOKUP($A118,'Raw Data'!$G:$G,'Raw Data'!AD:AD),"")</f>
        <v>0</v>
      </c>
      <c r="L118" s="104">
        <f>IFERROR(_xlfn.XLOOKUP($A118,'Raw Data'!$G:$G,'Raw Data'!AE:AE),"")</f>
        <v>28.73</v>
      </c>
      <c r="M118" s="104">
        <f>IFERROR(_xlfn.XLOOKUP($A118,'Raw Data'!$G:$G,'Raw Data'!AF:AF),"")</f>
        <v>0</v>
      </c>
      <c r="N118" s="104">
        <f>IFERROR(_xlfn.XLOOKUP($A118,'Raw Data'!$G:$G,'Raw Data'!AG:AG),"")</f>
        <v>0</v>
      </c>
      <c r="O118" s="105">
        <f>IFERROR(1-SUMIF('Plant BD'!$B:$B,$A118,'Plant BD'!$AM:$AM)/($AA118+SUMIF('Plant BD'!$B:$B,$A118,'Plant BD'!$AM:$AM)),"")</f>
        <v>1</v>
      </c>
      <c r="P118" s="105"/>
      <c r="Q118" s="106"/>
      <c r="R118" s="105">
        <f>IFERROR(1-SUMIF('Grid BD'!$B:$B,$A118,'Grid BD'!$AE:$AE)/($AA118+SUMIF('Grid BD'!$B:$B,$A118,'Grid BD'!$AE:$AE)),"")</f>
        <v>1</v>
      </c>
      <c r="T118" s="106"/>
      <c r="U118" s="107">
        <f t="shared" si="9"/>
        <v>0.86612666715914677</v>
      </c>
      <c r="V118" s="107"/>
      <c r="W118" s="108">
        <f t="shared" si="10"/>
        <v>7.5064311153792723E-2</v>
      </c>
      <c r="X118" s="101">
        <f>IFERROR(_xlfn.XLOOKUP($A118,'Raw Data'!$G:$G,'Raw Data'!AI:AI),"")</f>
        <v>14688.2</v>
      </c>
      <c r="Y118" s="101">
        <f>IFERROR(_xlfn.XLOOKUP($A118,'Raw Data'!$G:$G,'Raw Data'!AJ:AJ),"")</f>
        <v>14550.00000000291</v>
      </c>
      <c r="Z118" s="101">
        <f>IFERROR(_xlfn.XLOOKUP($A118,'Raw Data'!$G:$G,'Raw Data'!AK:AK),"")</f>
        <v>99.999999999965894</v>
      </c>
      <c r="AA118" s="101">
        <f>IFERROR(_xlfn.XLOOKUP($A118,'Raw Data'!$G:$G,'Raw Data'!$AL:$AL)*(1+(_xlfn.XLOOKUP(Table13[[#This Row],[Month Year]],JMR!$A:$A,JMR!$J:$J))),"")</f>
        <v>14450.000000002945</v>
      </c>
      <c r="AB118" s="101">
        <f>IFERROR(_xlfn.XLOOKUP($A118,'Raw Data'!$G:$G,'Raw Data'!H:H),"")</f>
        <v>8.0208999999999993</v>
      </c>
      <c r="AC118" s="67">
        <f>IFERROR(_xlfn.XLOOKUP($D118,'Modelling New'!$D:$D,'Modelling New'!P:P),"")</f>
        <v>4.0451612903225804</v>
      </c>
      <c r="AD118" s="101">
        <f>IFERROR(_xlfn.XLOOKUP($D118,'Modelling New'!$D:$D,'Modelling New'!$T:$T)*1000,"")</f>
        <v>22929.949138521675</v>
      </c>
      <c r="AE118" s="109">
        <f>IFERROR(_xlfn.XLOOKUP($D118,'Modelling New'!$D:$D,'Modelling New'!O:O),"")</f>
        <v>0.70671473575739119</v>
      </c>
      <c r="AF118" s="108">
        <f>IFERROR(_xlfn.XLOOKUP($D118,'Modelling New'!$D:$D,'Modelling New'!W:W),"")</f>
        <v>0.11911562884943125</v>
      </c>
      <c r="AG118" s="108">
        <f>IFERROR(_xlfn.XLOOKUP($D118,'Modelling New'!$D:$D,'Modelling New'!AE:AE),"")</f>
        <v>0.98040000000000005</v>
      </c>
      <c r="AH118" s="128">
        <f>IFERROR(_xlfn.XLOOKUP($D118,'Modelling New'!$D:$D,'Modelling New'!AF:AF),"")</f>
        <v>0.98</v>
      </c>
      <c r="AN118" s="105"/>
      <c r="AO118" s="108"/>
      <c r="AP118" s="108"/>
      <c r="AQ118" s="108"/>
      <c r="AR118" s="101">
        <f>'Basic Data'!$B$98/1000</f>
        <v>8.0208999999999993</v>
      </c>
      <c r="AT118" s="7">
        <f>IFERROR(_xlfn.XLOOKUP(Table13[[#This Row],[Date]],'Raw Data'!$G:$G,'Raw Data'!$AN:$AN),"")</f>
        <v>0</v>
      </c>
      <c r="AU118" s="7">
        <f>IFERROR(_xlfn.XLOOKUP(Table13[[#This Row],[Month Year]],'Modelling New'!$D:$D,'Modelling New'!$AO:$AO),"")</f>
        <v>8</v>
      </c>
      <c r="AV118" s="7">
        <f>SUMIF('Curtailment Records'!$C:$C,Table13[[#This Row],[Date]],'Curtailment Records'!$R:$R)/1000</f>
        <v>0</v>
      </c>
    </row>
    <row r="119" spans="1:48" x14ac:dyDescent="0.3">
      <c r="A119" s="100">
        <f t="shared" si="11"/>
        <v>45862</v>
      </c>
      <c r="B119" s="101">
        <f>YEAR(Table13[[#This Row],[Date]])+IF(MONTH(Table13[[#This Row],[Date]])&gt;=4,1,0)</f>
        <v>2026</v>
      </c>
      <c r="C119" s="7">
        <f>YEAR(Table13[[#This Row],[Date]])</f>
        <v>2025</v>
      </c>
      <c r="D119" s="102">
        <f>Table13[[#This Row],[Date]]-DAY(Table13[[#This Row],[Date]])+1</f>
        <v>45839</v>
      </c>
      <c r="E119" s="7">
        <f t="shared" si="8"/>
        <v>31</v>
      </c>
      <c r="F119" s="103">
        <f>IFERROR(_xlfn.XLOOKUP($A119,'Raw Data'!$G:$G,'Raw Data'!$AM:$AM),"")</f>
        <v>11.95</v>
      </c>
      <c r="G119" s="104">
        <f>IFERROR(_xlfn.XLOOKUP($A119,'Raw Data'!$G:$G,'Raw Data'!$AB:$AB),"")</f>
        <v>0</v>
      </c>
      <c r="H119" s="104"/>
      <c r="I119" s="104">
        <f>IFERROR(_xlfn.XLOOKUP($A119,'Raw Data'!$G:$G,'Raw Data'!$AC:$AC),"")</f>
        <v>2.06</v>
      </c>
      <c r="J119" s="104"/>
      <c r="K119" s="104">
        <f>IFERROR(_xlfn.XLOOKUP($A119,'Raw Data'!$G:$G,'Raw Data'!AD:AD),"")</f>
        <v>0</v>
      </c>
      <c r="L119" s="104">
        <f>IFERROR(_xlfn.XLOOKUP($A119,'Raw Data'!$G:$G,'Raw Data'!AE:AE),"")</f>
        <v>28.75</v>
      </c>
      <c r="M119" s="104">
        <f>IFERROR(_xlfn.XLOOKUP($A119,'Raw Data'!$G:$G,'Raw Data'!AF:AF),"")</f>
        <v>0</v>
      </c>
      <c r="N119" s="104">
        <f>IFERROR(_xlfn.XLOOKUP($A119,'Raw Data'!$G:$G,'Raw Data'!AG:AG),"")</f>
        <v>0</v>
      </c>
      <c r="O119" s="105">
        <f>IFERROR(1-SUMIF('Plant BD'!$B:$B,$A119,'Plant BD'!$AM:$AM)/($AA119+SUMIF('Plant BD'!$B:$B,$A119,'Plant BD'!$AM:$AM)),"")</f>
        <v>1</v>
      </c>
      <c r="P119" s="105"/>
      <c r="Q119" s="106"/>
      <c r="R119" s="105">
        <f>IFERROR(1-SUMIF('Grid BD'!$B:$B,$A119,'Grid BD'!$AE:$AE)/($AA119+SUMIF('Grid BD'!$B:$B,$A119,'Grid BD'!$AE:$AE)),"")</f>
        <v>0.96302055354429383</v>
      </c>
      <c r="T119" s="106"/>
      <c r="U119" s="107">
        <f t="shared" si="9"/>
        <v>0.7504665904983413</v>
      </c>
      <c r="V119" s="107"/>
      <c r="W119" s="108">
        <f t="shared" si="10"/>
        <v>6.4415049017774284E-2</v>
      </c>
      <c r="X119" s="101">
        <f>IFERROR(_xlfn.XLOOKUP($A119,'Raw Data'!$G:$G,'Raw Data'!AI:AI),"")</f>
        <v>12613.4</v>
      </c>
      <c r="Y119" s="101">
        <f>IFERROR(_xlfn.XLOOKUP($A119,'Raw Data'!$G:$G,'Raw Data'!AJ:AJ),"")</f>
        <v>12500</v>
      </c>
      <c r="Z119" s="101">
        <f>IFERROR(_xlfn.XLOOKUP($A119,'Raw Data'!$G:$G,'Raw Data'!AK:AK),"")</f>
        <v>100.00000000002274</v>
      </c>
      <c r="AA119" s="101">
        <f>IFERROR(_xlfn.XLOOKUP($A119,'Raw Data'!$G:$G,'Raw Data'!$AL:$AL)*(1+(_xlfn.XLOOKUP(Table13[[#This Row],[Month Year]],JMR!$A:$A,JMR!$J:$J))),"")</f>
        <v>12399.999999999978</v>
      </c>
      <c r="AB119" s="101">
        <f>IFERROR(_xlfn.XLOOKUP($A119,'Raw Data'!$G:$G,'Raw Data'!H:H),"")</f>
        <v>8.0208999999999993</v>
      </c>
      <c r="AC119" s="67">
        <f>IFERROR(_xlfn.XLOOKUP($D119,'Modelling New'!$D:$D,'Modelling New'!P:P),"")</f>
        <v>4.0451612903225804</v>
      </c>
      <c r="AD119" s="101">
        <f>IFERROR(_xlfn.XLOOKUP($D119,'Modelling New'!$D:$D,'Modelling New'!$T:$T)*1000,"")</f>
        <v>22929.949138521675</v>
      </c>
      <c r="AE119" s="109">
        <f>IFERROR(_xlfn.XLOOKUP($D119,'Modelling New'!$D:$D,'Modelling New'!O:O),"")</f>
        <v>0.70671473575739119</v>
      </c>
      <c r="AF119" s="108">
        <f>IFERROR(_xlfn.XLOOKUP($D119,'Modelling New'!$D:$D,'Modelling New'!W:W),"")</f>
        <v>0.11911562884943125</v>
      </c>
      <c r="AG119" s="108">
        <f>IFERROR(_xlfn.XLOOKUP($D119,'Modelling New'!$D:$D,'Modelling New'!AE:AE),"")</f>
        <v>0.98040000000000005</v>
      </c>
      <c r="AH119" s="128">
        <f>IFERROR(_xlfn.XLOOKUP($D119,'Modelling New'!$D:$D,'Modelling New'!AF:AF),"")</f>
        <v>0.98</v>
      </c>
      <c r="AN119" s="105"/>
      <c r="AO119" s="108"/>
      <c r="AP119" s="108"/>
      <c r="AQ119" s="108"/>
      <c r="AR119" s="101">
        <f>'Basic Data'!$B$98/1000</f>
        <v>8.0208999999999993</v>
      </c>
      <c r="AT119" s="7">
        <f>IFERROR(_xlfn.XLOOKUP(Table13[[#This Row],[Date]],'Raw Data'!$G:$G,'Raw Data'!$AN:$AN),"")</f>
        <v>0</v>
      </c>
      <c r="AU119" s="7">
        <f>IFERROR(_xlfn.XLOOKUP(Table13[[#This Row],[Month Year]],'Modelling New'!$D:$D,'Modelling New'!$AO:$AO),"")</f>
        <v>8</v>
      </c>
      <c r="AV119" s="7">
        <f>SUMIF('Curtailment Records'!$C:$C,Table13[[#This Row],[Date]],'Curtailment Records'!$R:$R)/1000</f>
        <v>0</v>
      </c>
    </row>
    <row r="120" spans="1:48" x14ac:dyDescent="0.3">
      <c r="A120" s="100">
        <f t="shared" si="11"/>
        <v>45863</v>
      </c>
      <c r="B120" s="101">
        <f>YEAR(Table13[[#This Row],[Date]])+IF(MONTH(Table13[[#This Row],[Date]])&gt;=4,1,0)</f>
        <v>2026</v>
      </c>
      <c r="C120" s="7">
        <f>YEAR(Table13[[#This Row],[Date]])</f>
        <v>2025</v>
      </c>
      <c r="D120" s="102">
        <f>Table13[[#This Row],[Date]]-DAY(Table13[[#This Row],[Date]])+1</f>
        <v>45839</v>
      </c>
      <c r="E120" s="7">
        <f t="shared" si="8"/>
        <v>31</v>
      </c>
      <c r="F120" s="103">
        <f>IFERROR(_xlfn.XLOOKUP($A120,'Raw Data'!$G:$G,'Raw Data'!$AM:$AM),"")</f>
        <v>11.933333333333332</v>
      </c>
      <c r="G120" s="104">
        <f>IFERROR(_xlfn.XLOOKUP($A120,'Raw Data'!$G:$G,'Raw Data'!$AB:$AB),"")</f>
        <v>0</v>
      </c>
      <c r="H120" s="104"/>
      <c r="I120" s="104">
        <f>IFERROR(_xlfn.XLOOKUP($A120,'Raw Data'!$G:$G,'Raw Data'!$AC:$AC),"")</f>
        <v>1.83</v>
      </c>
      <c r="J120" s="104"/>
      <c r="K120" s="104">
        <f>IFERROR(_xlfn.XLOOKUP($A120,'Raw Data'!$G:$G,'Raw Data'!AD:AD),"")</f>
        <v>0</v>
      </c>
      <c r="L120" s="104">
        <f>IFERROR(_xlfn.XLOOKUP($A120,'Raw Data'!$G:$G,'Raw Data'!AE:AE),"")</f>
        <v>27.27</v>
      </c>
      <c r="M120" s="104">
        <f>IFERROR(_xlfn.XLOOKUP($A120,'Raw Data'!$G:$G,'Raw Data'!AF:AF),"")</f>
        <v>0</v>
      </c>
      <c r="N120" s="104">
        <f>IFERROR(_xlfn.XLOOKUP($A120,'Raw Data'!$G:$G,'Raw Data'!AG:AG),"")</f>
        <v>0</v>
      </c>
      <c r="O120" s="105">
        <f>IFERROR(1-SUMIF('Plant BD'!$B:$B,$A120,'Plant BD'!$AM:$AM)/($AA120+SUMIF('Plant BD'!$B:$B,$A120,'Plant BD'!$AM:$AM)),"")</f>
        <v>1</v>
      </c>
      <c r="P120" s="105"/>
      <c r="Q120" s="106"/>
      <c r="R120" s="105">
        <f>IFERROR(1-SUMIF('Grid BD'!$B:$B,$A120,'Grid BD'!$AE:$AE)/($AA120+SUMIF('Grid BD'!$B:$B,$A120,'Grid BD'!$AE:$AE)),"")</f>
        <v>1</v>
      </c>
      <c r="T120" s="106"/>
      <c r="U120" s="107">
        <f t="shared" si="9"/>
        <v>0.86522593604011067</v>
      </c>
      <c r="V120" s="107"/>
      <c r="W120" s="108">
        <f t="shared" si="10"/>
        <v>6.5973477623058427E-2</v>
      </c>
      <c r="X120" s="101">
        <f>IFERROR(_xlfn.XLOOKUP($A120,'Raw Data'!$G:$G,'Raw Data'!AI:AI),"")</f>
        <v>12884.9</v>
      </c>
      <c r="Y120" s="101">
        <f>IFERROR(_xlfn.XLOOKUP($A120,'Raw Data'!$G:$G,'Raw Data'!AJ:AJ),"")</f>
        <v>12800.00000000291</v>
      </c>
      <c r="Z120" s="101">
        <f>IFERROR(_xlfn.XLOOKUP($A120,'Raw Data'!$G:$G,'Raw Data'!AK:AK),"")</f>
        <v>99.999999999965894</v>
      </c>
      <c r="AA120" s="101">
        <f>IFERROR(_xlfn.XLOOKUP($A120,'Raw Data'!$G:$G,'Raw Data'!$AL:$AL)*(1+(_xlfn.XLOOKUP(Table13[[#This Row],[Month Year]],JMR!$A:$A,JMR!$J:$J))),"")</f>
        <v>12700.000000002945</v>
      </c>
      <c r="AB120" s="101">
        <f>IFERROR(_xlfn.XLOOKUP($A120,'Raw Data'!$G:$G,'Raw Data'!H:H),"")</f>
        <v>8.0208999999999993</v>
      </c>
      <c r="AC120" s="67">
        <f>IFERROR(_xlfn.XLOOKUP($D120,'Modelling New'!$D:$D,'Modelling New'!P:P),"")</f>
        <v>4.0451612903225804</v>
      </c>
      <c r="AD120" s="101">
        <f>IFERROR(_xlfn.XLOOKUP($D120,'Modelling New'!$D:$D,'Modelling New'!$T:$T)*1000,"")</f>
        <v>22929.949138521675</v>
      </c>
      <c r="AE120" s="109">
        <f>IFERROR(_xlfn.XLOOKUP($D120,'Modelling New'!$D:$D,'Modelling New'!O:O),"")</f>
        <v>0.70671473575739119</v>
      </c>
      <c r="AF120" s="108">
        <f>IFERROR(_xlfn.XLOOKUP($D120,'Modelling New'!$D:$D,'Modelling New'!W:W),"")</f>
        <v>0.11911562884943125</v>
      </c>
      <c r="AG120" s="108">
        <f>IFERROR(_xlfn.XLOOKUP($D120,'Modelling New'!$D:$D,'Modelling New'!AE:AE),"")</f>
        <v>0.98040000000000005</v>
      </c>
      <c r="AH120" s="128">
        <f>IFERROR(_xlfn.XLOOKUP($D120,'Modelling New'!$D:$D,'Modelling New'!AF:AF),"")</f>
        <v>0.98</v>
      </c>
      <c r="AN120" s="105"/>
      <c r="AO120" s="108"/>
      <c r="AP120" s="108"/>
      <c r="AQ120" s="108"/>
      <c r="AR120" s="101">
        <f>'Basic Data'!$B$98/1000</f>
        <v>8.0208999999999993</v>
      </c>
      <c r="AT120" s="7">
        <f>IFERROR(_xlfn.XLOOKUP(Table13[[#This Row],[Date]],'Raw Data'!$G:$G,'Raw Data'!$AN:$AN),"")</f>
        <v>0</v>
      </c>
      <c r="AU120" s="7">
        <f>IFERROR(_xlfn.XLOOKUP(Table13[[#This Row],[Month Year]],'Modelling New'!$D:$D,'Modelling New'!$AO:$AO),"")</f>
        <v>8</v>
      </c>
      <c r="AV120" s="7">
        <f>SUMIF('Curtailment Records'!$C:$C,Table13[[#This Row],[Date]],'Curtailment Records'!$R:$R)/1000</f>
        <v>0</v>
      </c>
    </row>
    <row r="121" spans="1:48" x14ac:dyDescent="0.3">
      <c r="A121" s="100">
        <f t="shared" si="11"/>
        <v>45864</v>
      </c>
      <c r="B121" s="101">
        <f>YEAR(Table13[[#This Row],[Date]])+IF(MONTH(Table13[[#This Row],[Date]])&gt;=4,1,0)</f>
        <v>2026</v>
      </c>
      <c r="C121" s="7">
        <f>YEAR(Table13[[#This Row],[Date]])</f>
        <v>2025</v>
      </c>
      <c r="D121" s="102">
        <f>Table13[[#This Row],[Date]]-DAY(Table13[[#This Row],[Date]])+1</f>
        <v>45839</v>
      </c>
      <c r="E121" s="7">
        <f t="shared" si="8"/>
        <v>31</v>
      </c>
      <c r="F121" s="103">
        <f>IFERROR(_xlfn.XLOOKUP($A121,'Raw Data'!$G:$G,'Raw Data'!$AM:$AM),"")</f>
        <v>11.916666666666666</v>
      </c>
      <c r="G121" s="104">
        <f>IFERROR(_xlfn.XLOOKUP($A121,'Raw Data'!$G:$G,'Raw Data'!$AB:$AB),"")</f>
        <v>0</v>
      </c>
      <c r="H121" s="104"/>
      <c r="I121" s="104">
        <f>IFERROR(_xlfn.XLOOKUP($A121,'Raw Data'!$G:$G,'Raw Data'!$AC:$AC),"")</f>
        <v>1.33</v>
      </c>
      <c r="J121" s="104"/>
      <c r="K121" s="104">
        <f>IFERROR(_xlfn.XLOOKUP($A121,'Raw Data'!$G:$G,'Raw Data'!AD:AD),"")</f>
        <v>0</v>
      </c>
      <c r="L121" s="104">
        <f>IFERROR(_xlfn.XLOOKUP($A121,'Raw Data'!$G:$G,'Raw Data'!AE:AE),"")</f>
        <v>25.51</v>
      </c>
      <c r="M121" s="104">
        <f>IFERROR(_xlfn.XLOOKUP($A121,'Raw Data'!$G:$G,'Raw Data'!AF:AF),"")</f>
        <v>0</v>
      </c>
      <c r="N121" s="104">
        <f>IFERROR(_xlfn.XLOOKUP($A121,'Raw Data'!$G:$G,'Raw Data'!AG:AG),"")</f>
        <v>0</v>
      </c>
      <c r="O121" s="105">
        <f>IFERROR(1-SUMIF('Plant BD'!$B:$B,$A121,'Plant BD'!$AM:$AM)/($AA121+SUMIF('Plant BD'!$B:$B,$A121,'Plant BD'!$AM:$AM)),"")</f>
        <v>0.93229382054676524</v>
      </c>
      <c r="P121" s="105"/>
      <c r="Q121" s="106"/>
      <c r="R121" s="105">
        <f>IFERROR(1-SUMIF('Grid BD'!$B:$B,$A121,'Grid BD'!$AE:$AE)/($AA121+SUMIF('Grid BD'!$B:$B,$A121,'Grid BD'!$AE:$AE)),"")</f>
        <v>1</v>
      </c>
      <c r="T121" s="106"/>
      <c r="U121" s="107">
        <f t="shared" si="9"/>
        <v>0.76398154183098699</v>
      </c>
      <c r="V121" s="107"/>
      <c r="W121" s="108">
        <f t="shared" si="10"/>
        <v>4.2337310443133859E-2</v>
      </c>
      <c r="X121" s="101">
        <f>IFERROR(_xlfn.XLOOKUP($A121,'Raw Data'!$G:$G,'Raw Data'!AI:AI),"")</f>
        <v>8306.6</v>
      </c>
      <c r="Y121" s="101">
        <f>IFERROR(_xlfn.XLOOKUP($A121,'Raw Data'!$G:$G,'Raw Data'!AJ:AJ),"")</f>
        <v>8250</v>
      </c>
      <c r="Z121" s="101">
        <f>IFERROR(_xlfn.XLOOKUP($A121,'Raw Data'!$G:$G,'Raw Data'!AK:AK),"")</f>
        <v>100.00000000002274</v>
      </c>
      <c r="AA121" s="101">
        <f>IFERROR(_xlfn.XLOOKUP($A121,'Raw Data'!$G:$G,'Raw Data'!$AL:$AL)*(1+(_xlfn.XLOOKUP(Table13[[#This Row],[Month Year]],JMR!$A:$A,JMR!$J:$J))),"")</f>
        <v>8149.9999999999773</v>
      </c>
      <c r="AB121" s="101">
        <f>IFERROR(_xlfn.XLOOKUP($A121,'Raw Data'!$G:$G,'Raw Data'!H:H),"")</f>
        <v>8.0208999999999993</v>
      </c>
      <c r="AC121" s="67">
        <f>IFERROR(_xlfn.XLOOKUP($D121,'Modelling New'!$D:$D,'Modelling New'!P:P),"")</f>
        <v>4.0451612903225804</v>
      </c>
      <c r="AD121" s="101">
        <f>IFERROR(_xlfn.XLOOKUP($D121,'Modelling New'!$D:$D,'Modelling New'!$T:$T)*1000,"")</f>
        <v>22929.949138521675</v>
      </c>
      <c r="AE121" s="109">
        <f>IFERROR(_xlfn.XLOOKUP($D121,'Modelling New'!$D:$D,'Modelling New'!O:O),"")</f>
        <v>0.70671473575739119</v>
      </c>
      <c r="AF121" s="108">
        <f>IFERROR(_xlfn.XLOOKUP($D121,'Modelling New'!$D:$D,'Modelling New'!W:W),"")</f>
        <v>0.11911562884943125</v>
      </c>
      <c r="AG121" s="108">
        <f>IFERROR(_xlfn.XLOOKUP($D121,'Modelling New'!$D:$D,'Modelling New'!AE:AE),"")</f>
        <v>0.98040000000000005</v>
      </c>
      <c r="AH121" s="128">
        <f>IFERROR(_xlfn.XLOOKUP($D121,'Modelling New'!$D:$D,'Modelling New'!AF:AF),"")</f>
        <v>0.98</v>
      </c>
      <c r="AN121" s="105"/>
      <c r="AO121" s="108"/>
      <c r="AP121" s="108"/>
      <c r="AQ121" s="108"/>
      <c r="AR121" s="101">
        <f>'Basic Data'!$B$98/1000</f>
        <v>8.0208999999999993</v>
      </c>
      <c r="AT121" s="7">
        <f>IFERROR(_xlfn.XLOOKUP(Table13[[#This Row],[Date]],'Raw Data'!$G:$G,'Raw Data'!$AN:$AN),"")</f>
        <v>0</v>
      </c>
      <c r="AU121" s="7">
        <f>IFERROR(_xlfn.XLOOKUP(Table13[[#This Row],[Month Year]],'Modelling New'!$D:$D,'Modelling New'!$AO:$AO),"")</f>
        <v>8</v>
      </c>
      <c r="AV121" s="7">
        <f>SUMIF('Curtailment Records'!$C:$C,Table13[[#This Row],[Date]],'Curtailment Records'!$R:$R)/1000</f>
        <v>0</v>
      </c>
    </row>
    <row r="122" spans="1:48" x14ac:dyDescent="0.3">
      <c r="A122" s="100">
        <f t="shared" si="11"/>
        <v>45865</v>
      </c>
      <c r="B122" s="101">
        <f>YEAR(Table13[[#This Row],[Date]])+IF(MONTH(Table13[[#This Row],[Date]])&gt;=4,1,0)</f>
        <v>2026</v>
      </c>
      <c r="C122" s="7">
        <f>YEAR(Table13[[#This Row],[Date]])</f>
        <v>2025</v>
      </c>
      <c r="D122" s="102">
        <f>Table13[[#This Row],[Date]]-DAY(Table13[[#This Row],[Date]])+1</f>
        <v>45839</v>
      </c>
      <c r="E122" s="7">
        <f t="shared" si="8"/>
        <v>31</v>
      </c>
      <c r="F122" s="103">
        <f>IFERROR(_xlfn.XLOOKUP($A122,'Raw Data'!$G:$G,'Raw Data'!$AM:$AM),"")</f>
        <v>12.566666666666666</v>
      </c>
      <c r="G122" s="104">
        <f>IFERROR(_xlfn.XLOOKUP($A122,'Raw Data'!$G:$G,'Raw Data'!$AB:$AB),"")</f>
        <v>0</v>
      </c>
      <c r="H122" s="104"/>
      <c r="I122" s="104">
        <f>IFERROR(_xlfn.XLOOKUP($A122,'Raw Data'!$G:$G,'Raw Data'!$AC:$AC),"")</f>
        <v>4.7699999999999996</v>
      </c>
      <c r="J122" s="104"/>
      <c r="K122" s="104">
        <f>IFERROR(_xlfn.XLOOKUP($A122,'Raw Data'!$G:$G,'Raw Data'!AD:AD),"")</f>
        <v>0</v>
      </c>
      <c r="L122" s="104">
        <f>IFERROR(_xlfn.XLOOKUP($A122,'Raw Data'!$G:$G,'Raw Data'!AE:AE),"")</f>
        <v>37.36</v>
      </c>
      <c r="M122" s="104">
        <f>IFERROR(_xlfn.XLOOKUP($A122,'Raw Data'!$G:$G,'Raw Data'!AF:AF),"")</f>
        <v>0</v>
      </c>
      <c r="N122" s="104">
        <f>IFERROR(_xlfn.XLOOKUP($A122,'Raw Data'!$G:$G,'Raw Data'!AG:AG),"")</f>
        <v>0</v>
      </c>
      <c r="O122" s="105">
        <f>IFERROR(1-SUMIF('Plant BD'!$B:$B,$A122,'Plant BD'!$AM:$AM)/($AA122+SUMIF('Plant BD'!$B:$B,$A122,'Plant BD'!$AM:$AM)),"")</f>
        <v>1</v>
      </c>
      <c r="P122" s="105"/>
      <c r="Q122" s="106"/>
      <c r="R122" s="105">
        <f>IFERROR(1-SUMIF('Grid BD'!$B:$B,$A122,'Grid BD'!$AE:$AE)/($AA122+SUMIF('Grid BD'!$B:$B,$A122,'Grid BD'!$AE:$AE)),"")</f>
        <v>0.75204326897540885</v>
      </c>
      <c r="T122" s="106"/>
      <c r="U122" s="107">
        <f t="shared" si="9"/>
        <v>0.58416569103147453</v>
      </c>
      <c r="V122" s="107"/>
      <c r="W122" s="108">
        <f t="shared" si="10"/>
        <v>0.11610293109250555</v>
      </c>
      <c r="X122" s="101">
        <f>IFERROR(_xlfn.XLOOKUP($A122,'Raw Data'!$G:$G,'Raw Data'!AI:AI),"")</f>
        <v>22669.200000000001</v>
      </c>
      <c r="Y122" s="101">
        <f>IFERROR(_xlfn.XLOOKUP($A122,'Raw Data'!$G:$G,'Raw Data'!AJ:AJ),"")</f>
        <v>22449.99999999709</v>
      </c>
      <c r="Z122" s="101">
        <f>IFERROR(_xlfn.XLOOKUP($A122,'Raw Data'!$G:$G,'Raw Data'!AK:AK),"")</f>
        <v>100.00000000002274</v>
      </c>
      <c r="AA122" s="101">
        <f>IFERROR(_xlfn.XLOOKUP($A122,'Raw Data'!$G:$G,'Raw Data'!$AL:$AL)*(1+(_xlfn.XLOOKUP(Table13[[#This Row],[Month Year]],JMR!$A:$A,JMR!$J:$J))),"")</f>
        <v>22349.999999997068</v>
      </c>
      <c r="AB122" s="101">
        <f>IFERROR(_xlfn.XLOOKUP($A122,'Raw Data'!$G:$G,'Raw Data'!H:H),"")</f>
        <v>8.0208999999999993</v>
      </c>
      <c r="AC122" s="67">
        <f>IFERROR(_xlfn.XLOOKUP($D122,'Modelling New'!$D:$D,'Modelling New'!P:P),"")</f>
        <v>4.0451612903225804</v>
      </c>
      <c r="AD122" s="101">
        <f>IFERROR(_xlfn.XLOOKUP($D122,'Modelling New'!$D:$D,'Modelling New'!$T:$T)*1000,"")</f>
        <v>22929.949138521675</v>
      </c>
      <c r="AE122" s="109">
        <f>IFERROR(_xlfn.XLOOKUP($D122,'Modelling New'!$D:$D,'Modelling New'!O:O),"")</f>
        <v>0.70671473575739119</v>
      </c>
      <c r="AF122" s="108">
        <f>IFERROR(_xlfn.XLOOKUP($D122,'Modelling New'!$D:$D,'Modelling New'!W:W),"")</f>
        <v>0.11911562884943125</v>
      </c>
      <c r="AG122" s="108">
        <f>IFERROR(_xlfn.XLOOKUP($D122,'Modelling New'!$D:$D,'Modelling New'!AE:AE),"")</f>
        <v>0.98040000000000005</v>
      </c>
      <c r="AH122" s="128">
        <f>IFERROR(_xlfn.XLOOKUP($D122,'Modelling New'!$D:$D,'Modelling New'!AF:AF),"")</f>
        <v>0.98</v>
      </c>
      <c r="AN122" s="105"/>
      <c r="AO122" s="108"/>
      <c r="AP122" s="108"/>
      <c r="AQ122" s="108"/>
      <c r="AR122" s="101">
        <f>'Basic Data'!$B$98/1000</f>
        <v>8.0208999999999993</v>
      </c>
      <c r="AT122" s="7">
        <f>IFERROR(_xlfn.XLOOKUP(Table13[[#This Row],[Date]],'Raw Data'!$G:$G,'Raw Data'!$AN:$AN),"")</f>
        <v>0</v>
      </c>
      <c r="AU122" s="7">
        <f>IFERROR(_xlfn.XLOOKUP(Table13[[#This Row],[Month Year]],'Modelling New'!$D:$D,'Modelling New'!$AO:$AO),"")</f>
        <v>8</v>
      </c>
      <c r="AV122" s="7">
        <f>SUMIF('Curtailment Records'!$C:$C,Table13[[#This Row],[Date]],'Curtailment Records'!$R:$R)/1000</f>
        <v>0</v>
      </c>
    </row>
    <row r="123" spans="1:48" x14ac:dyDescent="0.3">
      <c r="A123" s="100">
        <f t="shared" si="11"/>
        <v>45866</v>
      </c>
      <c r="B123" s="101">
        <f>YEAR(Table13[[#This Row],[Date]])+IF(MONTH(Table13[[#This Row],[Date]])&gt;=4,1,0)</f>
        <v>2026</v>
      </c>
      <c r="C123" s="7">
        <f>YEAR(Table13[[#This Row],[Date]])</f>
        <v>2025</v>
      </c>
      <c r="D123" s="102">
        <f>Table13[[#This Row],[Date]]-DAY(Table13[[#This Row],[Date]])+1</f>
        <v>45839</v>
      </c>
      <c r="E123" s="7">
        <f t="shared" si="8"/>
        <v>31</v>
      </c>
      <c r="F123" s="103">
        <f>IFERROR(_xlfn.XLOOKUP($A123,'Raw Data'!$G:$G,'Raw Data'!$AM:$AM),"")</f>
        <v>12.533333333333335</v>
      </c>
      <c r="G123" s="104">
        <f>IFERROR(_xlfn.XLOOKUP($A123,'Raw Data'!$G:$G,'Raw Data'!$AB:$AB),"")</f>
        <v>0</v>
      </c>
      <c r="H123" s="104"/>
      <c r="I123" s="104">
        <f>IFERROR(_xlfn.XLOOKUP($A123,'Raw Data'!$G:$G,'Raw Data'!$AC:$AC),"")</f>
        <v>4.3099999999999996</v>
      </c>
      <c r="J123" s="104"/>
      <c r="K123" s="104">
        <f>IFERROR(_xlfn.XLOOKUP($A123,'Raw Data'!$G:$G,'Raw Data'!AD:AD),"")</f>
        <v>0</v>
      </c>
      <c r="L123" s="104">
        <f>IFERROR(_xlfn.XLOOKUP($A123,'Raw Data'!$G:$G,'Raw Data'!AE:AE),"")</f>
        <v>33.74</v>
      </c>
      <c r="M123" s="104">
        <f>IFERROR(_xlfn.XLOOKUP($A123,'Raw Data'!$G:$G,'Raw Data'!AF:AF),"")</f>
        <v>0</v>
      </c>
      <c r="N123" s="104">
        <f>IFERROR(_xlfn.XLOOKUP($A123,'Raw Data'!$G:$G,'Raw Data'!AG:AG),"")</f>
        <v>0</v>
      </c>
      <c r="O123" s="105">
        <f>IFERROR(1-SUMIF('Plant BD'!$B:$B,$A123,'Plant BD'!$AM:$AM)/($AA123+SUMIF('Plant BD'!$B:$B,$A123,'Plant BD'!$AM:$AM)),"")</f>
        <v>1</v>
      </c>
      <c r="P123" s="105"/>
      <c r="Q123" s="106"/>
      <c r="R123" s="105">
        <f>IFERROR(1-SUMIF('Grid BD'!$B:$B,$A123,'Grid BD'!$AE:$AE)/($AA123+SUMIF('Grid BD'!$B:$B,$A123,'Grid BD'!$AE:$AE)),"")</f>
        <v>1</v>
      </c>
      <c r="T123" s="106"/>
      <c r="U123" s="107">
        <f t="shared" si="9"/>
        <v>0.80705629859856665</v>
      </c>
      <c r="V123" s="107"/>
      <c r="W123" s="108">
        <f t="shared" si="10"/>
        <v>0.14493386028999256</v>
      </c>
      <c r="X123" s="101">
        <f>IFERROR(_xlfn.XLOOKUP($A123,'Raw Data'!$G:$G,'Raw Data'!AI:AI),"")</f>
        <v>28253.9</v>
      </c>
      <c r="Y123" s="101">
        <f>IFERROR(_xlfn.XLOOKUP($A123,'Raw Data'!$G:$G,'Raw Data'!AJ:AJ),"")</f>
        <v>28000</v>
      </c>
      <c r="Z123" s="101">
        <f>IFERROR(_xlfn.XLOOKUP($A123,'Raw Data'!$G:$G,'Raw Data'!AK:AK),"")</f>
        <v>99.999999999965894</v>
      </c>
      <c r="AA123" s="101">
        <f>IFERROR(_xlfn.XLOOKUP($A123,'Raw Data'!$G:$G,'Raw Data'!$AL:$AL)*(1+(_xlfn.XLOOKUP(Table13[[#This Row],[Month Year]],JMR!$A:$A,JMR!$J:$J))),"")</f>
        <v>27900.000000000033</v>
      </c>
      <c r="AB123" s="101">
        <f>IFERROR(_xlfn.XLOOKUP($A123,'Raw Data'!$G:$G,'Raw Data'!H:H),"")</f>
        <v>8.0208999999999993</v>
      </c>
      <c r="AC123" s="67">
        <f>IFERROR(_xlfn.XLOOKUP($D123,'Modelling New'!$D:$D,'Modelling New'!P:P),"")</f>
        <v>4.0451612903225804</v>
      </c>
      <c r="AD123" s="101">
        <f>IFERROR(_xlfn.XLOOKUP($D123,'Modelling New'!$D:$D,'Modelling New'!$T:$T)*1000,"")</f>
        <v>22929.949138521675</v>
      </c>
      <c r="AE123" s="109">
        <f>IFERROR(_xlfn.XLOOKUP($D123,'Modelling New'!$D:$D,'Modelling New'!O:O),"")</f>
        <v>0.70671473575739119</v>
      </c>
      <c r="AF123" s="108">
        <f>IFERROR(_xlfn.XLOOKUP($D123,'Modelling New'!$D:$D,'Modelling New'!W:W),"")</f>
        <v>0.11911562884943125</v>
      </c>
      <c r="AG123" s="108">
        <f>IFERROR(_xlfn.XLOOKUP($D123,'Modelling New'!$D:$D,'Modelling New'!AE:AE),"")</f>
        <v>0.98040000000000005</v>
      </c>
      <c r="AH123" s="128">
        <f>IFERROR(_xlfn.XLOOKUP($D123,'Modelling New'!$D:$D,'Modelling New'!AF:AF),"")</f>
        <v>0.98</v>
      </c>
      <c r="AN123" s="105"/>
      <c r="AO123" s="108"/>
      <c r="AP123" s="108"/>
      <c r="AQ123" s="108"/>
      <c r="AR123" s="101">
        <f>'Basic Data'!$B$98/1000</f>
        <v>8.0208999999999993</v>
      </c>
      <c r="AT123" s="7">
        <f>IFERROR(_xlfn.XLOOKUP(Table13[[#This Row],[Date]],'Raw Data'!$G:$G,'Raw Data'!$AN:$AN),"")</f>
        <v>0</v>
      </c>
      <c r="AU123" s="7">
        <f>IFERROR(_xlfn.XLOOKUP(Table13[[#This Row],[Month Year]],'Modelling New'!$D:$D,'Modelling New'!$AO:$AO),"")</f>
        <v>8</v>
      </c>
      <c r="AV123" s="7">
        <f>SUMIF('Curtailment Records'!$C:$C,Table13[[#This Row],[Date]],'Curtailment Records'!$R:$R)/1000</f>
        <v>0</v>
      </c>
    </row>
    <row r="124" spans="1:48" x14ac:dyDescent="0.3">
      <c r="A124" s="100">
        <f t="shared" si="11"/>
        <v>45867</v>
      </c>
      <c r="B124" s="101">
        <f>YEAR(Table13[[#This Row],[Date]])+IF(MONTH(Table13[[#This Row],[Date]])&gt;=4,1,0)</f>
        <v>2026</v>
      </c>
      <c r="C124" s="7">
        <f>YEAR(Table13[[#This Row],[Date]])</f>
        <v>2025</v>
      </c>
      <c r="D124" s="102">
        <f>Table13[[#This Row],[Date]]-DAY(Table13[[#This Row],[Date]])+1</f>
        <v>45839</v>
      </c>
      <c r="E124" s="7">
        <f t="shared" si="8"/>
        <v>31</v>
      </c>
      <c r="F124" s="103">
        <f>IFERROR(_xlfn.XLOOKUP($A124,'Raw Data'!$G:$G,'Raw Data'!$AM:$AM),"")</f>
        <v>12.416666666666668</v>
      </c>
      <c r="G124" s="104">
        <f>IFERROR(_xlfn.XLOOKUP($A124,'Raw Data'!$G:$G,'Raw Data'!$AB:$AB),"")</f>
        <v>0</v>
      </c>
      <c r="H124" s="104"/>
      <c r="I124" s="104">
        <f>IFERROR(_xlfn.XLOOKUP($A124,'Raw Data'!$G:$G,'Raw Data'!$AC:$AC),"")</f>
        <v>4.45</v>
      </c>
      <c r="J124" s="104"/>
      <c r="K124" s="104">
        <f>IFERROR(_xlfn.XLOOKUP($A124,'Raw Data'!$G:$G,'Raw Data'!AD:AD),"")</f>
        <v>0</v>
      </c>
      <c r="L124" s="104">
        <f>IFERROR(_xlfn.XLOOKUP($A124,'Raw Data'!$G:$G,'Raw Data'!AE:AE),"")</f>
        <v>33.26</v>
      </c>
      <c r="M124" s="104">
        <f>IFERROR(_xlfn.XLOOKUP($A124,'Raw Data'!$G:$G,'Raw Data'!AF:AF),"")</f>
        <v>0</v>
      </c>
      <c r="N124" s="104">
        <f>IFERROR(_xlfn.XLOOKUP($A124,'Raw Data'!$G:$G,'Raw Data'!AG:AG),"")</f>
        <v>0</v>
      </c>
      <c r="O124" s="105">
        <f>IFERROR(1-SUMIF('Plant BD'!$B:$B,$A124,'Plant BD'!$AM:$AM)/($AA124+SUMIF('Plant BD'!$B:$B,$A124,'Plant BD'!$AM:$AM)),"")</f>
        <v>1</v>
      </c>
      <c r="P124" s="105"/>
      <c r="Q124" s="106"/>
      <c r="R124" s="105">
        <f>IFERROR(1-SUMIF('Grid BD'!$B:$B,$A124,'Grid BD'!$AE:$AE)/($AA124+SUMIF('Grid BD'!$B:$B,$A124,'Grid BD'!$AE:$AE)),"")</f>
        <v>1</v>
      </c>
      <c r="T124" s="106"/>
      <c r="U124" s="107">
        <f t="shared" si="9"/>
        <v>0.79847577977830109</v>
      </c>
      <c r="V124" s="107"/>
      <c r="W124" s="108">
        <f t="shared" si="10"/>
        <v>0.14805071750055998</v>
      </c>
      <c r="X124" s="101">
        <f>IFERROR(_xlfn.XLOOKUP($A124,'Raw Data'!$G:$G,'Raw Data'!AI:AI),"")</f>
        <v>28852.3</v>
      </c>
      <c r="Y124" s="101">
        <f>IFERROR(_xlfn.XLOOKUP($A124,'Raw Data'!$G:$G,'Raw Data'!AJ:AJ),"")</f>
        <v>28600.000000005821</v>
      </c>
      <c r="Z124" s="101">
        <f>IFERROR(_xlfn.XLOOKUP($A124,'Raw Data'!$G:$G,'Raw Data'!AK:AK),"")</f>
        <v>100.00000000002274</v>
      </c>
      <c r="AA124" s="101">
        <f>IFERROR(_xlfn.XLOOKUP($A124,'Raw Data'!$G:$G,'Raw Data'!$AL:$AL)*(1+(_xlfn.XLOOKUP(Table13[[#This Row],[Month Year]],JMR!$A:$A,JMR!$J:$J))),"")</f>
        <v>28500.000000005799</v>
      </c>
      <c r="AB124" s="101">
        <f>IFERROR(_xlfn.XLOOKUP($A124,'Raw Data'!$G:$G,'Raw Data'!H:H),"")</f>
        <v>8.0208999999999993</v>
      </c>
      <c r="AC124" s="67">
        <f>IFERROR(_xlfn.XLOOKUP($D124,'Modelling New'!$D:$D,'Modelling New'!P:P),"")</f>
        <v>4.0451612903225804</v>
      </c>
      <c r="AD124" s="101">
        <f>IFERROR(_xlfn.XLOOKUP($D124,'Modelling New'!$D:$D,'Modelling New'!$T:$T)*1000,"")</f>
        <v>22929.949138521675</v>
      </c>
      <c r="AE124" s="109">
        <f>IFERROR(_xlfn.XLOOKUP($D124,'Modelling New'!$D:$D,'Modelling New'!O:O),"")</f>
        <v>0.70671473575739119</v>
      </c>
      <c r="AF124" s="108">
        <f>IFERROR(_xlfn.XLOOKUP($D124,'Modelling New'!$D:$D,'Modelling New'!W:W),"")</f>
        <v>0.11911562884943125</v>
      </c>
      <c r="AG124" s="108">
        <f>IFERROR(_xlfn.XLOOKUP($D124,'Modelling New'!$D:$D,'Modelling New'!AE:AE),"")</f>
        <v>0.98040000000000005</v>
      </c>
      <c r="AH124" s="128">
        <f>IFERROR(_xlfn.XLOOKUP($D124,'Modelling New'!$D:$D,'Modelling New'!AF:AF),"")</f>
        <v>0.98</v>
      </c>
      <c r="AN124" s="105"/>
      <c r="AO124" s="108"/>
      <c r="AP124" s="108"/>
      <c r="AQ124" s="108"/>
      <c r="AR124" s="101">
        <f>'Basic Data'!$B$98/1000</f>
        <v>8.0208999999999993</v>
      </c>
      <c r="AT124" s="7">
        <f>IFERROR(_xlfn.XLOOKUP(Table13[[#This Row],[Date]],'Raw Data'!$G:$G,'Raw Data'!$AN:$AN),"")</f>
        <v>0</v>
      </c>
      <c r="AU124" s="7">
        <f>IFERROR(_xlfn.XLOOKUP(Table13[[#This Row],[Month Year]],'Modelling New'!$D:$D,'Modelling New'!$AO:$AO),"")</f>
        <v>8</v>
      </c>
      <c r="AV124" s="7">
        <f>SUMIF('Curtailment Records'!$C:$C,Table13[[#This Row],[Date]],'Curtailment Records'!$R:$R)/1000</f>
        <v>0</v>
      </c>
    </row>
    <row r="125" spans="1:48" x14ac:dyDescent="0.3">
      <c r="A125" s="100">
        <f t="shared" si="11"/>
        <v>45868</v>
      </c>
      <c r="B125" s="101">
        <f>YEAR(Table13[[#This Row],[Date]])+IF(MONTH(Table13[[#This Row],[Date]])&gt;=4,1,0)</f>
        <v>2026</v>
      </c>
      <c r="C125" s="7">
        <f>YEAR(Table13[[#This Row],[Date]])</f>
        <v>2025</v>
      </c>
      <c r="D125" s="102">
        <f>Table13[[#This Row],[Date]]-DAY(Table13[[#This Row],[Date]])+1</f>
        <v>45839</v>
      </c>
      <c r="E125" s="7">
        <f t="shared" si="8"/>
        <v>31</v>
      </c>
      <c r="F125" s="103">
        <f>IFERROR(_xlfn.XLOOKUP($A125,'Raw Data'!$G:$G,'Raw Data'!$AM:$AM),"")</f>
        <v>12.316666666666668</v>
      </c>
      <c r="G125" s="104">
        <f>IFERROR(_xlfn.XLOOKUP($A125,'Raw Data'!$G:$G,'Raw Data'!$AB:$AB),"")</f>
        <v>0</v>
      </c>
      <c r="H125" s="104"/>
      <c r="I125" s="104">
        <f>IFERROR(_xlfn.XLOOKUP($A125,'Raw Data'!$G:$G,'Raw Data'!$AC:$AC),"")</f>
        <v>3.3</v>
      </c>
      <c r="J125" s="104"/>
      <c r="K125" s="104">
        <f>IFERROR(_xlfn.XLOOKUP($A125,'Raw Data'!$G:$G,'Raw Data'!AD:AD),"")</f>
        <v>0</v>
      </c>
      <c r="L125" s="104">
        <f>IFERROR(_xlfn.XLOOKUP($A125,'Raw Data'!$G:$G,'Raw Data'!AE:AE),"")</f>
        <v>30.78</v>
      </c>
      <c r="M125" s="104">
        <f>IFERROR(_xlfn.XLOOKUP($A125,'Raw Data'!$G:$G,'Raw Data'!AF:AF),"")</f>
        <v>0</v>
      </c>
      <c r="N125" s="104">
        <f>IFERROR(_xlfn.XLOOKUP($A125,'Raw Data'!$G:$G,'Raw Data'!AG:AG),"")</f>
        <v>0</v>
      </c>
      <c r="O125" s="105">
        <f>IFERROR(1-SUMIF('Plant BD'!$B:$B,$A125,'Plant BD'!$AM:$AM)/($AA125+SUMIF('Plant BD'!$B:$B,$A125,'Plant BD'!$AM:$AM)),"")</f>
        <v>0.99448429449602216</v>
      </c>
      <c r="P125" s="105"/>
      <c r="Q125" s="106"/>
      <c r="R125" s="105">
        <f>IFERROR(1-SUMIF('Grid BD'!$B:$B,$A125,'Grid BD'!$AE:$AE)/($AA125+SUMIF('Grid BD'!$B:$B,$A125,'Grid BD'!$AE:$AE)),"")</f>
        <v>0.99457907712829197</v>
      </c>
      <c r="T125" s="106"/>
      <c r="U125" s="107">
        <f t="shared" si="9"/>
        <v>0.78582581792922857</v>
      </c>
      <c r="V125" s="107"/>
      <c r="W125" s="108">
        <f t="shared" si="10"/>
        <v>0.10805104996526892</v>
      </c>
      <c r="X125" s="101">
        <f>IFERROR(_xlfn.XLOOKUP($A125,'Raw Data'!$G:$G,'Raw Data'!AI:AI),"")</f>
        <v>21094.800000000003</v>
      </c>
      <c r="Y125" s="101">
        <f>IFERROR(_xlfn.XLOOKUP($A125,'Raw Data'!$G:$G,'Raw Data'!AJ:AJ),"")</f>
        <v>20899.999999994179</v>
      </c>
      <c r="Z125" s="101">
        <f>IFERROR(_xlfn.XLOOKUP($A125,'Raw Data'!$G:$G,'Raw Data'!AK:AK),"")</f>
        <v>99.999999999965894</v>
      </c>
      <c r="AA125" s="101">
        <f>IFERROR(_xlfn.XLOOKUP($A125,'Raw Data'!$G:$G,'Raw Data'!$AL:$AL)*(1+(_xlfn.XLOOKUP(Table13[[#This Row],[Month Year]],JMR!$A:$A,JMR!$J:$J))),"")</f>
        <v>20799.999999994212</v>
      </c>
      <c r="AB125" s="101">
        <f>IFERROR(_xlfn.XLOOKUP($A125,'Raw Data'!$G:$G,'Raw Data'!H:H),"")</f>
        <v>8.0208999999999993</v>
      </c>
      <c r="AC125" s="67">
        <f>IFERROR(_xlfn.XLOOKUP($D125,'Modelling New'!$D:$D,'Modelling New'!P:P),"")</f>
        <v>4.0451612903225804</v>
      </c>
      <c r="AD125" s="101">
        <f>IFERROR(_xlfn.XLOOKUP($D125,'Modelling New'!$D:$D,'Modelling New'!$T:$T)*1000,"")</f>
        <v>22929.949138521675</v>
      </c>
      <c r="AE125" s="109">
        <f>IFERROR(_xlfn.XLOOKUP($D125,'Modelling New'!$D:$D,'Modelling New'!O:O),"")</f>
        <v>0.70671473575739119</v>
      </c>
      <c r="AF125" s="108">
        <f>IFERROR(_xlfn.XLOOKUP($D125,'Modelling New'!$D:$D,'Modelling New'!W:W),"")</f>
        <v>0.11911562884943125</v>
      </c>
      <c r="AG125" s="108">
        <f>IFERROR(_xlfn.XLOOKUP($D125,'Modelling New'!$D:$D,'Modelling New'!AE:AE),"")</f>
        <v>0.98040000000000005</v>
      </c>
      <c r="AH125" s="128">
        <f>IFERROR(_xlfn.XLOOKUP($D125,'Modelling New'!$D:$D,'Modelling New'!AF:AF),"")</f>
        <v>0.98</v>
      </c>
      <c r="AN125" s="105"/>
      <c r="AO125" s="108"/>
      <c r="AP125" s="108"/>
      <c r="AQ125" s="108"/>
      <c r="AR125" s="101">
        <f>'Basic Data'!$B$98/1000</f>
        <v>8.0208999999999993</v>
      </c>
      <c r="AT125" s="7">
        <f>IFERROR(_xlfn.XLOOKUP(Table13[[#This Row],[Date]],'Raw Data'!$G:$G,'Raw Data'!$AN:$AN),"")</f>
        <v>0</v>
      </c>
      <c r="AU125" s="7">
        <f>IFERROR(_xlfn.XLOOKUP(Table13[[#This Row],[Month Year]],'Modelling New'!$D:$D,'Modelling New'!$AO:$AO),"")</f>
        <v>8</v>
      </c>
      <c r="AV125" s="7">
        <f>SUMIF('Curtailment Records'!$C:$C,Table13[[#This Row],[Date]],'Curtailment Records'!$R:$R)/1000</f>
        <v>0</v>
      </c>
    </row>
    <row r="126" spans="1:48" x14ac:dyDescent="0.3">
      <c r="A126" s="100">
        <f t="shared" si="11"/>
        <v>45869</v>
      </c>
      <c r="B126" s="101">
        <f>YEAR(Table13[[#This Row],[Date]])+IF(MONTH(Table13[[#This Row],[Date]])&gt;=4,1,0)</f>
        <v>2026</v>
      </c>
      <c r="C126" s="7">
        <f>YEAR(Table13[[#This Row],[Date]])</f>
        <v>2025</v>
      </c>
      <c r="D126" s="102">
        <f>Table13[[#This Row],[Date]]-DAY(Table13[[#This Row],[Date]])+1</f>
        <v>45839</v>
      </c>
      <c r="E126" s="7">
        <f t="shared" si="8"/>
        <v>31</v>
      </c>
      <c r="F126" s="103">
        <f>IFERROR(_xlfn.XLOOKUP($A126,'Raw Data'!$G:$G,'Raw Data'!$AM:$AM),"")</f>
        <v>12.450000000000001</v>
      </c>
      <c r="G126" s="104">
        <f>IFERROR(_xlfn.XLOOKUP($A126,'Raw Data'!$G:$G,'Raw Data'!$AB:$AB),"")</f>
        <v>0</v>
      </c>
      <c r="H126" s="104"/>
      <c r="I126" s="104">
        <f>IFERROR(_xlfn.XLOOKUP($A126,'Raw Data'!$G:$G,'Raw Data'!$AC:$AC),"")</f>
        <v>4.72</v>
      </c>
      <c r="J126" s="104"/>
      <c r="K126" s="104">
        <f>IFERROR(_xlfn.XLOOKUP($A126,'Raw Data'!$G:$G,'Raw Data'!AD:AD),"")</f>
        <v>0</v>
      </c>
      <c r="L126" s="104">
        <f>IFERROR(_xlfn.XLOOKUP($A126,'Raw Data'!$G:$G,'Raw Data'!AE:AE),"")</f>
        <v>34.56</v>
      </c>
      <c r="M126" s="104">
        <f>IFERROR(_xlfn.XLOOKUP($A126,'Raw Data'!$G:$G,'Raw Data'!AF:AF),"")</f>
        <v>0</v>
      </c>
      <c r="N126" s="104">
        <f>IFERROR(_xlfn.XLOOKUP($A126,'Raw Data'!$G:$G,'Raw Data'!AG:AG),"")</f>
        <v>0</v>
      </c>
      <c r="O126" s="105">
        <f>IFERROR(1-SUMIF('Plant BD'!$B:$B,$A126,'Plant BD'!$AM:$AM)/($AA126+SUMIF('Plant BD'!$B:$B,$A126,'Plant BD'!$AM:$AM)),"")</f>
        <v>1</v>
      </c>
      <c r="P126" s="105"/>
      <c r="Q126" s="106"/>
      <c r="R126" s="105">
        <f>IFERROR(1-SUMIF('Grid BD'!$B:$B,$A126,'Grid BD'!$AE:$AE)/($AA126+SUMIF('Grid BD'!$B:$B,$A126,'Grid BD'!$AE:$AE)),"")</f>
        <v>0.99434471773600064</v>
      </c>
      <c r="T126" s="106"/>
      <c r="U126" s="107">
        <f t="shared" si="9"/>
        <v>0.78977992029720612</v>
      </c>
      <c r="V126" s="107"/>
      <c r="W126" s="108">
        <f t="shared" si="10"/>
        <v>0.15532338432511719</v>
      </c>
      <c r="X126" s="101">
        <f>IFERROR(_xlfn.XLOOKUP($A126,'Raw Data'!$G:$G,'Raw Data'!AI:AI),"")</f>
        <v>30241.399999999998</v>
      </c>
      <c r="Y126" s="101">
        <f>IFERROR(_xlfn.XLOOKUP($A126,'Raw Data'!$G:$G,'Raw Data'!AJ:AJ),"")</f>
        <v>30000</v>
      </c>
      <c r="Z126" s="101">
        <f>IFERROR(_xlfn.XLOOKUP($A126,'Raw Data'!$G:$G,'Raw Data'!AK:AK),"")</f>
        <v>100.00000000002274</v>
      </c>
      <c r="AA126" s="101">
        <f>IFERROR(_xlfn.XLOOKUP($A126,'Raw Data'!$G:$G,'Raw Data'!$AL:$AL)*(1+(_xlfn.XLOOKUP(Table13[[#This Row],[Month Year]],JMR!$A:$A,JMR!$J:$J))),"")</f>
        <v>29899.999999999978</v>
      </c>
      <c r="AB126" s="101">
        <f>IFERROR(_xlfn.XLOOKUP($A126,'Raw Data'!$G:$G,'Raw Data'!H:H),"")</f>
        <v>8.0208999999999993</v>
      </c>
      <c r="AC126" s="67">
        <f>IFERROR(_xlfn.XLOOKUP($D126,'Modelling New'!$D:$D,'Modelling New'!P:P),"")</f>
        <v>4.0451612903225804</v>
      </c>
      <c r="AD126" s="101">
        <f>IFERROR(_xlfn.XLOOKUP($D126,'Modelling New'!$D:$D,'Modelling New'!$T:$T)*1000,"")</f>
        <v>22929.949138521675</v>
      </c>
      <c r="AE126" s="109">
        <f>IFERROR(_xlfn.XLOOKUP($D126,'Modelling New'!$D:$D,'Modelling New'!O:O),"")</f>
        <v>0.70671473575739119</v>
      </c>
      <c r="AF126" s="108">
        <f>IFERROR(_xlfn.XLOOKUP($D126,'Modelling New'!$D:$D,'Modelling New'!W:W),"")</f>
        <v>0.11911562884943125</v>
      </c>
      <c r="AG126" s="108">
        <f>IFERROR(_xlfn.XLOOKUP($D126,'Modelling New'!$D:$D,'Modelling New'!AE:AE),"")</f>
        <v>0.98040000000000005</v>
      </c>
      <c r="AH126" s="128">
        <f>IFERROR(_xlfn.XLOOKUP($D126,'Modelling New'!$D:$D,'Modelling New'!AF:AF),"")</f>
        <v>0.98</v>
      </c>
      <c r="AN126" s="105"/>
      <c r="AO126" s="108"/>
      <c r="AP126" s="108"/>
      <c r="AQ126" s="108"/>
      <c r="AR126" s="101">
        <f>'Basic Data'!$B$98/1000</f>
        <v>8.0208999999999993</v>
      </c>
      <c r="AT126" s="7">
        <f>IFERROR(_xlfn.XLOOKUP(Table13[[#This Row],[Date]],'Raw Data'!$G:$G,'Raw Data'!$AN:$AN),"")</f>
        <v>0</v>
      </c>
      <c r="AU126" s="7">
        <f>IFERROR(_xlfn.XLOOKUP(Table13[[#This Row],[Month Year]],'Modelling New'!$D:$D,'Modelling New'!$AO:$AO),"")</f>
        <v>8</v>
      </c>
      <c r="AV126" s="7">
        <f>SUMIF('Curtailment Records'!$C:$C,Table13[[#This Row],[Date]],'Curtailment Records'!$R:$R)/1000</f>
        <v>0</v>
      </c>
    </row>
    <row r="127" spans="1:48" x14ac:dyDescent="0.3">
      <c r="A127" s="100">
        <f t="shared" si="11"/>
        <v>45870</v>
      </c>
      <c r="B127" s="101">
        <f>YEAR(Table13[[#This Row],[Date]])+IF(MONTH(Table13[[#This Row],[Date]])&gt;=4,1,0)</f>
        <v>2026</v>
      </c>
      <c r="C127" s="7">
        <f>YEAR(Table13[[#This Row],[Date]])</f>
        <v>2025</v>
      </c>
      <c r="D127" s="102">
        <f>Table13[[#This Row],[Date]]-DAY(Table13[[#This Row],[Date]])+1</f>
        <v>45870</v>
      </c>
      <c r="E127" s="7">
        <f t="shared" si="8"/>
        <v>31</v>
      </c>
      <c r="F127" s="103">
        <f>IFERROR(_xlfn.XLOOKUP($A127,'Raw Data'!$G:$G,'Raw Data'!$AM:$AM),"")</f>
        <v>12.533333333333331</v>
      </c>
      <c r="G127" s="104">
        <f>IFERROR(_xlfn.XLOOKUP($A127,'Raw Data'!$G:$G,'Raw Data'!$AB:$AB),"")</f>
        <v>0</v>
      </c>
      <c r="H127" s="104"/>
      <c r="I127" s="104">
        <f>IFERROR(_xlfn.XLOOKUP($A127,'Raw Data'!$G:$G,'Raw Data'!$AC:$AC),"")</f>
        <v>6.03</v>
      </c>
      <c r="J127" s="104"/>
      <c r="K127" s="104">
        <f>IFERROR(_xlfn.XLOOKUP($A127,'Raw Data'!$G:$G,'Raw Data'!AD:AD),"")</f>
        <v>0</v>
      </c>
      <c r="L127" s="104">
        <f>IFERROR(_xlfn.XLOOKUP($A127,'Raw Data'!$G:$G,'Raw Data'!AE:AE),"")</f>
        <v>37.76</v>
      </c>
      <c r="M127" s="104">
        <f>IFERROR(_xlfn.XLOOKUP($A127,'Raw Data'!$G:$G,'Raw Data'!AF:AF),"")</f>
        <v>0</v>
      </c>
      <c r="N127" s="104">
        <f>IFERROR(_xlfn.XLOOKUP($A127,'Raw Data'!$G:$G,'Raw Data'!AG:AG),"")</f>
        <v>0</v>
      </c>
      <c r="O127" s="105">
        <f>IFERROR(1-SUMIF('Plant BD'!$B:$B,$A127,'Plant BD'!$AM:$AM)/($AA127+SUMIF('Plant BD'!$B:$B,$A127,'Plant BD'!$AM:$AM)),"")</f>
        <v>1</v>
      </c>
      <c r="P127" s="105"/>
      <c r="Q127" s="106"/>
      <c r="R127" s="105">
        <f>IFERROR(1-SUMIF('Grid BD'!$B:$B,$A127,'Grid BD'!$AE:$AE)/($AA127+SUMIF('Grid BD'!$B:$B,$A127,'Grid BD'!$AE:$AE)),"")</f>
        <v>1</v>
      </c>
      <c r="T127" s="106"/>
      <c r="U127" s="107">
        <f t="shared" si="9"/>
        <v>0.76293221272857459</v>
      </c>
      <c r="V127" s="107"/>
      <c r="W127" s="108">
        <f t="shared" si="10"/>
        <v>0.19168671844805435</v>
      </c>
      <c r="X127" s="101">
        <f>IFERROR(_xlfn.XLOOKUP($A127,'Raw Data'!$G:$G,'Raw Data'!AI:AI),"")</f>
        <v>37339</v>
      </c>
      <c r="Y127" s="101">
        <f>IFERROR(_xlfn.XLOOKUP($A127,'Raw Data'!$G:$G,'Raw Data'!AJ:AJ),"")</f>
        <v>37000</v>
      </c>
      <c r="Z127" s="101">
        <f>IFERROR(_xlfn.XLOOKUP($A127,'Raw Data'!$G:$G,'Raw Data'!AK:AK),"")</f>
        <v>100.00000000002274</v>
      </c>
      <c r="AA127" s="101">
        <f>IFERROR(_xlfn.XLOOKUP($A127,'Raw Data'!$G:$G,'Raw Data'!$AL:$AL)*(1+(_xlfn.XLOOKUP(Table13[[#This Row],[Month Year]],JMR!$A:$A,JMR!$J:$J))),"")</f>
        <v>36899.999999999978</v>
      </c>
      <c r="AB127" s="101">
        <f>IFERROR(_xlfn.XLOOKUP($A127,'Raw Data'!$G:$G,'Raw Data'!H:H),"")</f>
        <v>8.0208999999999993</v>
      </c>
      <c r="AC127" s="67">
        <f>IFERROR(_xlfn.XLOOKUP($D127,'Modelling New'!$D:$D,'Modelling New'!P:P),"")</f>
        <v>4.2161290322580642</v>
      </c>
      <c r="AD127" s="101">
        <f>IFERROR(_xlfn.XLOOKUP($D127,'Modelling New'!$D:$D,'Modelling New'!$T:$T)*1000,"")</f>
        <v>24273.156786520856</v>
      </c>
      <c r="AE127" s="109">
        <f>IFERROR(_xlfn.XLOOKUP($D127,'Modelling New'!$D:$D,'Modelling New'!O:O),"")</f>
        <v>0.71777654975663252</v>
      </c>
      <c r="AF127" s="108">
        <f>IFERROR(_xlfn.XLOOKUP($D127,'Modelling New'!$D:$D,'Modelling New'!W:W),"")</f>
        <v>0.12609327292095679</v>
      </c>
      <c r="AG127" s="108">
        <f>IFERROR(_xlfn.XLOOKUP($D127,'Modelling New'!$D:$D,'Modelling New'!AE:AE),"")</f>
        <v>0.98040000000000005</v>
      </c>
      <c r="AH127" s="128">
        <f>IFERROR(_xlfn.XLOOKUP($D127,'Modelling New'!$D:$D,'Modelling New'!AF:AF),"")</f>
        <v>0.98</v>
      </c>
      <c r="AN127" s="105"/>
      <c r="AO127" s="108"/>
      <c r="AP127" s="108"/>
      <c r="AQ127" s="108"/>
      <c r="AR127" s="101">
        <f>'Basic Data'!$B$98/1000</f>
        <v>8.0208999999999993</v>
      </c>
      <c r="AT127" s="7">
        <f>IFERROR(_xlfn.XLOOKUP(Table13[[#This Row],[Date]],'Raw Data'!$G:$G,'Raw Data'!$AN:$AN),"")</f>
        <v>0</v>
      </c>
      <c r="AU127" s="7">
        <f>IFERROR(_xlfn.XLOOKUP(Table13[[#This Row],[Month Year]],'Modelling New'!$D:$D,'Modelling New'!$AO:$AO),"")</f>
        <v>8</v>
      </c>
      <c r="AV127" s="7">
        <f>SUMIF('Curtailment Records'!$C:$C,Table13[[#This Row],[Date]],'Curtailment Records'!$R:$R)/1000</f>
        <v>0</v>
      </c>
    </row>
    <row r="128" spans="1:48" x14ac:dyDescent="0.3">
      <c r="A128" s="100">
        <f t="shared" si="11"/>
        <v>45871</v>
      </c>
      <c r="B128" s="101">
        <f>YEAR(Table13[[#This Row],[Date]])+IF(MONTH(Table13[[#This Row],[Date]])&gt;=4,1,0)</f>
        <v>2026</v>
      </c>
      <c r="C128" s="7">
        <f>YEAR(Table13[[#This Row],[Date]])</f>
        <v>2025</v>
      </c>
      <c r="D128" s="102">
        <f>Table13[[#This Row],[Date]]-DAY(Table13[[#This Row],[Date]])+1</f>
        <v>45870</v>
      </c>
      <c r="E128" s="7">
        <f t="shared" si="8"/>
        <v>31</v>
      </c>
      <c r="F128" s="103">
        <f>IFERROR(_xlfn.XLOOKUP($A128,'Raw Data'!$G:$G,'Raw Data'!$AM:$AM),"")</f>
        <v>12.733333333333334</v>
      </c>
      <c r="G128" s="104">
        <f>IFERROR(_xlfn.XLOOKUP($A128,'Raw Data'!$G:$G,'Raw Data'!$AB:$AB),"")</f>
        <v>0</v>
      </c>
      <c r="H128" s="104"/>
      <c r="I128" s="104">
        <f>IFERROR(_xlfn.XLOOKUP($A128,'Raw Data'!$G:$G,'Raw Data'!$AC:$AC),"")</f>
        <v>5.49</v>
      </c>
      <c r="J128" s="104"/>
      <c r="K128" s="104">
        <f>IFERROR(_xlfn.XLOOKUP($A128,'Raw Data'!$G:$G,'Raw Data'!AD:AD),"")</f>
        <v>0</v>
      </c>
      <c r="L128" s="104">
        <f>IFERROR(_xlfn.XLOOKUP($A128,'Raw Data'!$G:$G,'Raw Data'!AE:AE),"")</f>
        <v>38.03</v>
      </c>
      <c r="M128" s="104">
        <f>IFERROR(_xlfn.XLOOKUP($A128,'Raw Data'!$G:$G,'Raw Data'!AF:AF),"")</f>
        <v>0</v>
      </c>
      <c r="N128" s="104">
        <f>IFERROR(_xlfn.XLOOKUP($A128,'Raw Data'!$G:$G,'Raw Data'!AG:AG),"")</f>
        <v>0</v>
      </c>
      <c r="O128" s="105">
        <f>IFERROR(1-SUMIF('Plant BD'!$B:$B,$A128,'Plant BD'!$AM:$AM)/($AA128+SUMIF('Plant BD'!$B:$B,$A128,'Plant BD'!$AM:$AM)),"")</f>
        <v>1</v>
      </c>
      <c r="P128" s="105"/>
      <c r="Q128" s="106"/>
      <c r="R128" s="105">
        <f>IFERROR(1-SUMIF('Grid BD'!$B:$B,$A128,'Grid BD'!$AE:$AE)/($AA128+SUMIF('Grid BD'!$B:$B,$A128,'Grid BD'!$AE:$AE)),"")</f>
        <v>0.99834598807842601</v>
      </c>
      <c r="T128" s="106"/>
      <c r="U128" s="107">
        <f t="shared" si="9"/>
        <v>0.78914963982662589</v>
      </c>
      <c r="V128" s="107"/>
      <c r="W128" s="108">
        <f t="shared" si="10"/>
        <v>0.18051798011034065</v>
      </c>
      <c r="X128" s="101">
        <f>IFERROR(_xlfn.XLOOKUP($A128,'Raw Data'!$G:$G,'Raw Data'!AI:AI),"")</f>
        <v>35221.300000000003</v>
      </c>
      <c r="Y128" s="101">
        <f>IFERROR(_xlfn.XLOOKUP($A128,'Raw Data'!$G:$G,'Raw Data'!AJ:AJ),"")</f>
        <v>34900.000000008731</v>
      </c>
      <c r="Z128" s="101">
        <f>IFERROR(_xlfn.XLOOKUP($A128,'Raw Data'!$G:$G,'Raw Data'!AK:AK),"")</f>
        <v>149.99999999997726</v>
      </c>
      <c r="AA128" s="101">
        <f>IFERROR(_xlfn.XLOOKUP($A128,'Raw Data'!$G:$G,'Raw Data'!$AL:$AL)*(1+(_xlfn.XLOOKUP(Table13[[#This Row],[Month Year]],JMR!$A:$A,JMR!$J:$J))),"")</f>
        <v>34750.000000008753</v>
      </c>
      <c r="AB128" s="101">
        <f>IFERROR(_xlfn.XLOOKUP($A128,'Raw Data'!$G:$G,'Raw Data'!H:H),"")</f>
        <v>8.0208999999999993</v>
      </c>
      <c r="AC128" s="67">
        <f>IFERROR(_xlfn.XLOOKUP($D128,'Modelling New'!$D:$D,'Modelling New'!P:P),"")</f>
        <v>4.2161290322580642</v>
      </c>
      <c r="AD128" s="101">
        <f>IFERROR(_xlfn.XLOOKUP($D128,'Modelling New'!$D:$D,'Modelling New'!$T:$T)*1000,"")</f>
        <v>24273.156786520856</v>
      </c>
      <c r="AE128" s="109">
        <f>IFERROR(_xlfn.XLOOKUP($D128,'Modelling New'!$D:$D,'Modelling New'!O:O),"")</f>
        <v>0.71777654975663252</v>
      </c>
      <c r="AF128" s="108">
        <f>IFERROR(_xlfn.XLOOKUP($D128,'Modelling New'!$D:$D,'Modelling New'!W:W),"")</f>
        <v>0.12609327292095679</v>
      </c>
      <c r="AG128" s="108">
        <f>IFERROR(_xlfn.XLOOKUP($D128,'Modelling New'!$D:$D,'Modelling New'!AE:AE),"")</f>
        <v>0.98040000000000005</v>
      </c>
      <c r="AH128" s="128">
        <f>IFERROR(_xlfn.XLOOKUP($D128,'Modelling New'!$D:$D,'Modelling New'!AF:AF),"")</f>
        <v>0.98</v>
      </c>
      <c r="AN128" s="105"/>
      <c r="AO128" s="108"/>
      <c r="AP128" s="108"/>
      <c r="AQ128" s="108"/>
      <c r="AR128" s="101">
        <f>'Basic Data'!$B$98/1000</f>
        <v>8.0208999999999993</v>
      </c>
      <c r="AT128" s="7">
        <f>IFERROR(_xlfn.XLOOKUP(Table13[[#This Row],[Date]],'Raw Data'!$G:$G,'Raw Data'!$AN:$AN),"")</f>
        <v>0</v>
      </c>
      <c r="AU128" s="7">
        <f>IFERROR(_xlfn.XLOOKUP(Table13[[#This Row],[Month Year]],'Modelling New'!$D:$D,'Modelling New'!$AO:$AO),"")</f>
        <v>8</v>
      </c>
      <c r="AV128" s="7">
        <f>SUMIF('Curtailment Records'!$C:$C,Table13[[#This Row],[Date]],'Curtailment Records'!$R:$R)/1000</f>
        <v>0</v>
      </c>
    </row>
    <row r="129" spans="1:48" x14ac:dyDescent="0.3">
      <c r="A129" s="100">
        <f t="shared" si="11"/>
        <v>45872</v>
      </c>
      <c r="B129" s="101">
        <f>YEAR(Table13[[#This Row],[Date]])+IF(MONTH(Table13[[#This Row],[Date]])&gt;=4,1,0)</f>
        <v>2026</v>
      </c>
      <c r="C129" s="7">
        <f>YEAR(Table13[[#This Row],[Date]])</f>
        <v>2025</v>
      </c>
      <c r="D129" s="102">
        <f>Table13[[#This Row],[Date]]-DAY(Table13[[#This Row],[Date]])+1</f>
        <v>45870</v>
      </c>
      <c r="E129" s="7">
        <f t="shared" si="8"/>
        <v>31</v>
      </c>
      <c r="F129" s="103">
        <f>IFERROR(_xlfn.XLOOKUP($A129,'Raw Data'!$G:$G,'Raw Data'!$AM:$AM),"")</f>
        <v>12.666666666666668</v>
      </c>
      <c r="G129" s="104">
        <f>IFERROR(_xlfn.XLOOKUP($A129,'Raw Data'!$G:$G,'Raw Data'!$AB:$AB),"")</f>
        <v>0</v>
      </c>
      <c r="H129" s="104"/>
      <c r="I129" s="104">
        <f>IFERROR(_xlfn.XLOOKUP($A129,'Raw Data'!$G:$G,'Raw Data'!$AC:$AC),"")</f>
        <v>4.6900000000000004</v>
      </c>
      <c r="J129" s="104"/>
      <c r="K129" s="104">
        <f>IFERROR(_xlfn.XLOOKUP($A129,'Raw Data'!$G:$G,'Raw Data'!AD:AD),"")</f>
        <v>0</v>
      </c>
      <c r="L129" s="104">
        <f>IFERROR(_xlfn.XLOOKUP($A129,'Raw Data'!$G:$G,'Raw Data'!AE:AE),"")</f>
        <v>36.92</v>
      </c>
      <c r="M129" s="104">
        <f>IFERROR(_xlfn.XLOOKUP($A129,'Raw Data'!$G:$G,'Raw Data'!AF:AF),"")</f>
        <v>0</v>
      </c>
      <c r="N129" s="104">
        <f>IFERROR(_xlfn.XLOOKUP($A129,'Raw Data'!$G:$G,'Raw Data'!AG:AG),"")</f>
        <v>0</v>
      </c>
      <c r="O129" s="105">
        <f>IFERROR(1-SUMIF('Plant BD'!$B:$B,$A129,'Plant BD'!$AM:$AM)/($AA129+SUMIF('Plant BD'!$B:$B,$A129,'Plant BD'!$AM:$AM)),"")</f>
        <v>1</v>
      </c>
      <c r="P129" s="105"/>
      <c r="Q129" s="106"/>
      <c r="R129" s="105">
        <f>IFERROR(1-SUMIF('Grid BD'!$B:$B,$A129,'Grid BD'!$AE:$AE)/($AA129+SUMIF('Grid BD'!$B:$B,$A129,'Grid BD'!$AE:$AE)),"")</f>
        <v>0.9941198350407433</v>
      </c>
      <c r="T129" s="106"/>
      <c r="U129" s="107">
        <f t="shared" si="9"/>
        <v>0.77622371469217732</v>
      </c>
      <c r="V129" s="107"/>
      <c r="W129" s="108">
        <f t="shared" si="10"/>
        <v>0.15168705091276299</v>
      </c>
      <c r="X129" s="101">
        <f>IFERROR(_xlfn.XLOOKUP($A129,'Raw Data'!$G:$G,'Raw Data'!AI:AI),"")</f>
        <v>29543.7</v>
      </c>
      <c r="Y129" s="101">
        <f>IFERROR(_xlfn.XLOOKUP($A129,'Raw Data'!$G:$G,'Raw Data'!AJ:AJ),"")</f>
        <v>29299.999999988358</v>
      </c>
      <c r="Z129" s="101">
        <f>IFERROR(_xlfn.XLOOKUP($A129,'Raw Data'!$G:$G,'Raw Data'!AK:AK),"")</f>
        <v>100.00000000002274</v>
      </c>
      <c r="AA129" s="101">
        <f>IFERROR(_xlfn.XLOOKUP($A129,'Raw Data'!$G:$G,'Raw Data'!$AL:$AL)*(1+(_xlfn.XLOOKUP(Table13[[#This Row],[Month Year]],JMR!$A:$A,JMR!$J:$J))),"")</f>
        <v>29199.999999988337</v>
      </c>
      <c r="AB129" s="101">
        <f>IFERROR(_xlfn.XLOOKUP($A129,'Raw Data'!$G:$G,'Raw Data'!H:H),"")</f>
        <v>8.0208999999999993</v>
      </c>
      <c r="AC129" s="67">
        <f>IFERROR(_xlfn.XLOOKUP($D129,'Modelling New'!$D:$D,'Modelling New'!P:P),"")</f>
        <v>4.2161290322580642</v>
      </c>
      <c r="AD129" s="101">
        <f>IFERROR(_xlfn.XLOOKUP($D129,'Modelling New'!$D:$D,'Modelling New'!$T:$T)*1000,"")</f>
        <v>24273.156786520856</v>
      </c>
      <c r="AE129" s="109">
        <f>IFERROR(_xlfn.XLOOKUP($D129,'Modelling New'!$D:$D,'Modelling New'!O:O),"")</f>
        <v>0.71777654975663252</v>
      </c>
      <c r="AF129" s="108">
        <f>IFERROR(_xlfn.XLOOKUP($D129,'Modelling New'!$D:$D,'Modelling New'!W:W),"")</f>
        <v>0.12609327292095679</v>
      </c>
      <c r="AG129" s="108">
        <f>IFERROR(_xlfn.XLOOKUP($D129,'Modelling New'!$D:$D,'Modelling New'!AE:AE),"")</f>
        <v>0.98040000000000005</v>
      </c>
      <c r="AH129" s="128">
        <f>IFERROR(_xlfn.XLOOKUP($D129,'Modelling New'!$D:$D,'Modelling New'!AF:AF),"")</f>
        <v>0.98</v>
      </c>
      <c r="AN129" s="105"/>
      <c r="AO129" s="108"/>
      <c r="AP129" s="108"/>
      <c r="AQ129" s="108"/>
      <c r="AR129" s="101">
        <f>'Basic Data'!$B$98/1000</f>
        <v>8.0208999999999993</v>
      </c>
      <c r="AT129" s="7">
        <f>IFERROR(_xlfn.XLOOKUP(Table13[[#This Row],[Date]],'Raw Data'!$G:$G,'Raw Data'!$AN:$AN),"")</f>
        <v>0</v>
      </c>
      <c r="AU129" s="7">
        <f>IFERROR(_xlfn.XLOOKUP(Table13[[#This Row],[Month Year]],'Modelling New'!$D:$D,'Modelling New'!$AO:$AO),"")</f>
        <v>8</v>
      </c>
      <c r="AV129" s="7">
        <f>SUMIF('Curtailment Records'!$C:$C,Table13[[#This Row],[Date]],'Curtailment Records'!$R:$R)/1000</f>
        <v>0</v>
      </c>
    </row>
    <row r="130" spans="1:48" x14ac:dyDescent="0.3">
      <c r="A130" s="100">
        <f t="shared" si="11"/>
        <v>45873</v>
      </c>
      <c r="B130" s="101">
        <f>YEAR(Table13[[#This Row],[Date]])+IF(MONTH(Table13[[#This Row],[Date]])&gt;=4,1,0)</f>
        <v>2026</v>
      </c>
      <c r="C130" s="7">
        <f>YEAR(Table13[[#This Row],[Date]])</f>
        <v>2025</v>
      </c>
      <c r="D130" s="102">
        <f>Table13[[#This Row],[Date]]-DAY(Table13[[#This Row],[Date]])+1</f>
        <v>45870</v>
      </c>
      <c r="E130" s="7">
        <f t="shared" si="8"/>
        <v>31</v>
      </c>
      <c r="F130" s="103">
        <f>IFERROR(_xlfn.XLOOKUP($A130,'Raw Data'!$G:$G,'Raw Data'!$AM:$AM),"")</f>
        <v>0</v>
      </c>
      <c r="G130" s="104">
        <f>IFERROR(_xlfn.XLOOKUP($A130,'Raw Data'!$G:$G,'Raw Data'!$AB:$AB),"")</f>
        <v>0</v>
      </c>
      <c r="H130" s="104"/>
      <c r="I130" s="104">
        <f>IFERROR(_xlfn.XLOOKUP($A130,'Raw Data'!$G:$G,'Raw Data'!$AC:$AC),"")</f>
        <v>0</v>
      </c>
      <c r="J130" s="104"/>
      <c r="K130" s="104">
        <f>IFERROR(_xlfn.XLOOKUP($A130,'Raw Data'!$G:$G,'Raw Data'!AD:AD),"")</f>
        <v>0</v>
      </c>
      <c r="L130" s="104">
        <f>IFERROR(_xlfn.XLOOKUP($A130,'Raw Data'!$G:$G,'Raw Data'!AE:AE),"")</f>
        <v>0</v>
      </c>
      <c r="M130" s="104">
        <f>IFERROR(_xlfn.XLOOKUP($A130,'Raw Data'!$G:$G,'Raw Data'!AF:AF),"")</f>
        <v>0</v>
      </c>
      <c r="N130" s="104">
        <f>IFERROR(_xlfn.XLOOKUP($A130,'Raw Data'!$G:$G,'Raw Data'!AG:AG),"")</f>
        <v>0</v>
      </c>
      <c r="O130" s="105" t="str">
        <f>IFERROR(1-SUMIF('Plant BD'!$B:$B,$A130,'Plant BD'!$AM:$AM)/($AA130+SUMIF('Plant BD'!$B:$B,$A130,'Plant BD'!$AM:$AM)),"")</f>
        <v/>
      </c>
      <c r="P130" s="105"/>
      <c r="Q130" s="106"/>
      <c r="R130" s="105" t="str">
        <f>IFERROR(1-SUMIF('Grid BD'!$B:$B,$A130,'Grid BD'!$AE:$AE)/($AA130+SUMIF('Grid BD'!$B:$B,$A130,'Grid BD'!$AE:$AE)),"")</f>
        <v/>
      </c>
      <c r="T130" s="106"/>
      <c r="U130" s="107" t="str">
        <f t="shared" si="9"/>
        <v/>
      </c>
      <c r="V130" s="107"/>
      <c r="W130" s="108">
        <f t="shared" si="10"/>
        <v>0</v>
      </c>
      <c r="X130" s="101">
        <f>IFERROR(_xlfn.XLOOKUP($A130,'Raw Data'!$G:$G,'Raw Data'!AI:AI),"")</f>
        <v>0</v>
      </c>
      <c r="Y130" s="101">
        <f>IFERROR(_xlfn.XLOOKUP($A130,'Raw Data'!$G:$G,'Raw Data'!AJ:AJ),"")</f>
        <v>0</v>
      </c>
      <c r="Z130" s="101">
        <f>IFERROR(_xlfn.XLOOKUP($A130,'Raw Data'!$G:$G,'Raw Data'!AK:AK),"")</f>
        <v>0</v>
      </c>
      <c r="AA130" s="101">
        <f>IFERROR(_xlfn.XLOOKUP($A130,'Raw Data'!$G:$G,'Raw Data'!$AL:$AL)*(1+(_xlfn.XLOOKUP(Table13[[#This Row],[Month Year]],JMR!$A:$A,JMR!$J:$J))),"")</f>
        <v>0</v>
      </c>
      <c r="AB130" s="101">
        <f>IFERROR(_xlfn.XLOOKUP($A130,'Raw Data'!$G:$G,'Raw Data'!H:H),"")</f>
        <v>8.0208999999999993</v>
      </c>
      <c r="AC130" s="67">
        <f>IFERROR(_xlfn.XLOOKUP($D130,'Modelling New'!$D:$D,'Modelling New'!P:P),"")</f>
        <v>4.2161290322580642</v>
      </c>
      <c r="AD130" s="101">
        <f>IFERROR(_xlfn.XLOOKUP($D130,'Modelling New'!$D:$D,'Modelling New'!$T:$T)*1000,"")</f>
        <v>24273.156786520856</v>
      </c>
      <c r="AE130" s="109">
        <f>IFERROR(_xlfn.XLOOKUP($D130,'Modelling New'!$D:$D,'Modelling New'!O:O),"")</f>
        <v>0.71777654975663252</v>
      </c>
      <c r="AF130" s="108">
        <f>IFERROR(_xlfn.XLOOKUP($D130,'Modelling New'!$D:$D,'Modelling New'!W:W),"")</f>
        <v>0.12609327292095679</v>
      </c>
      <c r="AG130" s="108">
        <f>IFERROR(_xlfn.XLOOKUP($D130,'Modelling New'!$D:$D,'Modelling New'!AE:AE),"")</f>
        <v>0.98040000000000005</v>
      </c>
      <c r="AH130" s="128">
        <f>IFERROR(_xlfn.XLOOKUP($D130,'Modelling New'!$D:$D,'Modelling New'!AF:AF),"")</f>
        <v>0.98</v>
      </c>
      <c r="AN130" s="105"/>
      <c r="AO130" s="108"/>
      <c r="AP130" s="108"/>
      <c r="AQ130" s="108"/>
      <c r="AR130" s="101">
        <f>'Basic Data'!$B$98/1000</f>
        <v>8.0208999999999993</v>
      </c>
      <c r="AT130" s="7">
        <f>IFERROR(_xlfn.XLOOKUP(Table13[[#This Row],[Date]],'Raw Data'!$G:$G,'Raw Data'!$AN:$AN),"")</f>
        <v>0</v>
      </c>
      <c r="AU130" s="7">
        <f>IFERROR(_xlfn.XLOOKUP(Table13[[#This Row],[Month Year]],'Modelling New'!$D:$D,'Modelling New'!$AO:$AO),"")</f>
        <v>8</v>
      </c>
      <c r="AV130" s="7">
        <f>SUMIF('Curtailment Records'!$C:$C,Table13[[#This Row],[Date]],'Curtailment Records'!$R:$R)/1000</f>
        <v>0</v>
      </c>
    </row>
    <row r="131" spans="1:48" x14ac:dyDescent="0.3">
      <c r="A131" s="100">
        <f t="shared" si="11"/>
        <v>45874</v>
      </c>
      <c r="B131" s="101">
        <f>YEAR(Table13[[#This Row],[Date]])+IF(MONTH(Table13[[#This Row],[Date]])&gt;=4,1,0)</f>
        <v>2026</v>
      </c>
      <c r="C131" s="7">
        <f>YEAR(Table13[[#This Row],[Date]])</f>
        <v>2025</v>
      </c>
      <c r="D131" s="102">
        <f>Table13[[#This Row],[Date]]-DAY(Table13[[#This Row],[Date]])+1</f>
        <v>45870</v>
      </c>
      <c r="E131" s="7">
        <f t="shared" si="8"/>
        <v>31</v>
      </c>
      <c r="F131" s="103">
        <f>IFERROR(_xlfn.XLOOKUP($A131,'Raw Data'!$G:$G,'Raw Data'!$AM:$AM),"")</f>
        <v>0</v>
      </c>
      <c r="G131" s="104">
        <f>IFERROR(_xlfn.XLOOKUP($A131,'Raw Data'!$G:$G,'Raw Data'!$AB:$AB),"")</f>
        <v>0</v>
      </c>
      <c r="H131" s="104"/>
      <c r="I131" s="104">
        <f>IFERROR(_xlfn.XLOOKUP($A131,'Raw Data'!$G:$G,'Raw Data'!$AC:$AC),"")</f>
        <v>0</v>
      </c>
      <c r="J131" s="104"/>
      <c r="K131" s="104">
        <f>IFERROR(_xlfn.XLOOKUP($A131,'Raw Data'!$G:$G,'Raw Data'!AD:AD),"")</f>
        <v>0</v>
      </c>
      <c r="L131" s="104">
        <f>IFERROR(_xlfn.XLOOKUP($A131,'Raw Data'!$G:$G,'Raw Data'!AE:AE),"")</f>
        <v>0</v>
      </c>
      <c r="M131" s="104">
        <f>IFERROR(_xlfn.XLOOKUP($A131,'Raw Data'!$G:$G,'Raw Data'!AF:AF),"")</f>
        <v>0</v>
      </c>
      <c r="N131" s="104">
        <f>IFERROR(_xlfn.XLOOKUP($A131,'Raw Data'!$G:$G,'Raw Data'!AG:AG),"")</f>
        <v>0</v>
      </c>
      <c r="O131" s="105" t="str">
        <f>IFERROR(1-SUMIF('Plant BD'!$B:$B,$A131,'Plant BD'!$AM:$AM)/($AA131+SUMIF('Plant BD'!$B:$B,$A131,'Plant BD'!$AM:$AM)),"")</f>
        <v/>
      </c>
      <c r="P131" s="105"/>
      <c r="Q131" s="106"/>
      <c r="R131" s="105" t="str">
        <f>IFERROR(1-SUMIF('Grid BD'!$B:$B,$A131,'Grid BD'!$AE:$AE)/($AA131+SUMIF('Grid BD'!$B:$B,$A131,'Grid BD'!$AE:$AE)),"")</f>
        <v/>
      </c>
      <c r="T131" s="106"/>
      <c r="U131" s="107" t="str">
        <f t="shared" si="9"/>
        <v/>
      </c>
      <c r="V131" s="107"/>
      <c r="W131" s="108">
        <f t="shared" si="10"/>
        <v>0</v>
      </c>
      <c r="X131" s="101">
        <f>IFERROR(_xlfn.XLOOKUP($A131,'Raw Data'!$G:$G,'Raw Data'!AI:AI),"")</f>
        <v>0</v>
      </c>
      <c r="Y131" s="101">
        <f>IFERROR(_xlfn.XLOOKUP($A131,'Raw Data'!$G:$G,'Raw Data'!AJ:AJ),"")</f>
        <v>0</v>
      </c>
      <c r="Z131" s="101">
        <f>IFERROR(_xlfn.XLOOKUP($A131,'Raw Data'!$G:$G,'Raw Data'!AK:AK),"")</f>
        <v>0</v>
      </c>
      <c r="AA131" s="101">
        <f>IFERROR(_xlfn.XLOOKUP($A131,'Raw Data'!$G:$G,'Raw Data'!$AL:$AL)*(1+(_xlfn.XLOOKUP(Table13[[#This Row],[Month Year]],JMR!$A:$A,JMR!$J:$J))),"")</f>
        <v>0</v>
      </c>
      <c r="AB131" s="101">
        <f>IFERROR(_xlfn.XLOOKUP($A131,'Raw Data'!$G:$G,'Raw Data'!H:H),"")</f>
        <v>8.0208999999999993</v>
      </c>
      <c r="AC131" s="67">
        <f>IFERROR(_xlfn.XLOOKUP($D131,'Modelling New'!$D:$D,'Modelling New'!P:P),"")</f>
        <v>4.2161290322580642</v>
      </c>
      <c r="AD131" s="101">
        <f>IFERROR(_xlfn.XLOOKUP($D131,'Modelling New'!$D:$D,'Modelling New'!$T:$T)*1000,"")</f>
        <v>24273.156786520856</v>
      </c>
      <c r="AE131" s="109">
        <f>IFERROR(_xlfn.XLOOKUP($D131,'Modelling New'!$D:$D,'Modelling New'!O:O),"")</f>
        <v>0.71777654975663252</v>
      </c>
      <c r="AF131" s="108">
        <f>IFERROR(_xlfn.XLOOKUP($D131,'Modelling New'!$D:$D,'Modelling New'!W:W),"")</f>
        <v>0.12609327292095679</v>
      </c>
      <c r="AG131" s="108">
        <f>IFERROR(_xlfn.XLOOKUP($D131,'Modelling New'!$D:$D,'Modelling New'!AE:AE),"")</f>
        <v>0.98040000000000005</v>
      </c>
      <c r="AH131" s="128">
        <f>IFERROR(_xlfn.XLOOKUP($D131,'Modelling New'!$D:$D,'Modelling New'!AF:AF),"")</f>
        <v>0.98</v>
      </c>
      <c r="AN131" s="105"/>
      <c r="AO131" s="108"/>
      <c r="AP131" s="108"/>
      <c r="AQ131" s="108"/>
      <c r="AR131" s="101">
        <f>'Basic Data'!$B$98/1000</f>
        <v>8.0208999999999993</v>
      </c>
      <c r="AT131" s="7">
        <f>IFERROR(_xlfn.XLOOKUP(Table13[[#This Row],[Date]],'Raw Data'!$G:$G,'Raw Data'!$AN:$AN),"")</f>
        <v>0</v>
      </c>
      <c r="AU131" s="7">
        <f>IFERROR(_xlfn.XLOOKUP(Table13[[#This Row],[Month Year]],'Modelling New'!$D:$D,'Modelling New'!$AO:$AO),"")</f>
        <v>8</v>
      </c>
      <c r="AV131" s="7">
        <f>SUMIF('Curtailment Records'!$C:$C,Table13[[#This Row],[Date]],'Curtailment Records'!$R:$R)/1000</f>
        <v>0</v>
      </c>
    </row>
    <row r="132" spans="1:48" x14ac:dyDescent="0.3">
      <c r="A132" s="100">
        <f t="shared" si="11"/>
        <v>45875</v>
      </c>
      <c r="B132" s="101">
        <f>YEAR(Table13[[#This Row],[Date]])+IF(MONTH(Table13[[#This Row],[Date]])&gt;=4,1,0)</f>
        <v>2026</v>
      </c>
      <c r="C132" s="7">
        <f>YEAR(Table13[[#This Row],[Date]])</f>
        <v>2025</v>
      </c>
      <c r="D132" s="102">
        <f>Table13[[#This Row],[Date]]-DAY(Table13[[#This Row],[Date]])+1</f>
        <v>45870</v>
      </c>
      <c r="E132" s="7">
        <f t="shared" si="8"/>
        <v>31</v>
      </c>
      <c r="F132" s="103">
        <f>IFERROR(_xlfn.XLOOKUP($A132,'Raw Data'!$G:$G,'Raw Data'!$AM:$AM),"")</f>
        <v>0</v>
      </c>
      <c r="G132" s="104">
        <f>IFERROR(_xlfn.XLOOKUP($A132,'Raw Data'!$G:$G,'Raw Data'!$AB:$AB),"")</f>
        <v>0</v>
      </c>
      <c r="H132" s="104"/>
      <c r="I132" s="104">
        <f>IFERROR(_xlfn.XLOOKUP($A132,'Raw Data'!$G:$G,'Raw Data'!$AC:$AC),"")</f>
        <v>0</v>
      </c>
      <c r="J132" s="104"/>
      <c r="K132" s="104">
        <f>IFERROR(_xlfn.XLOOKUP($A132,'Raw Data'!$G:$G,'Raw Data'!AD:AD),"")</f>
        <v>0</v>
      </c>
      <c r="L132" s="104">
        <f>IFERROR(_xlfn.XLOOKUP($A132,'Raw Data'!$G:$G,'Raw Data'!AE:AE),"")</f>
        <v>0</v>
      </c>
      <c r="M132" s="104">
        <f>IFERROR(_xlfn.XLOOKUP($A132,'Raw Data'!$G:$G,'Raw Data'!AF:AF),"")</f>
        <v>0</v>
      </c>
      <c r="N132" s="104">
        <f>IFERROR(_xlfn.XLOOKUP($A132,'Raw Data'!$G:$G,'Raw Data'!AG:AG),"")</f>
        <v>0</v>
      </c>
      <c r="O132" s="105" t="str">
        <f>IFERROR(1-SUMIF('Plant BD'!$B:$B,$A132,'Plant BD'!$AM:$AM)/($AA132+SUMIF('Plant BD'!$B:$B,$A132,'Plant BD'!$AM:$AM)),"")</f>
        <v/>
      </c>
      <c r="P132" s="105"/>
      <c r="Q132" s="106"/>
      <c r="R132" s="105" t="str">
        <f>IFERROR(1-SUMIF('Grid BD'!$B:$B,$A132,'Grid BD'!$AE:$AE)/($AA132+SUMIF('Grid BD'!$B:$B,$A132,'Grid BD'!$AE:$AE)),"")</f>
        <v/>
      </c>
      <c r="T132" s="106"/>
      <c r="U132" s="107" t="str">
        <f t="shared" si="9"/>
        <v/>
      </c>
      <c r="V132" s="107"/>
      <c r="W132" s="108">
        <f t="shared" si="10"/>
        <v>0</v>
      </c>
      <c r="X132" s="101">
        <f>IFERROR(_xlfn.XLOOKUP($A132,'Raw Data'!$G:$G,'Raw Data'!AI:AI),"")</f>
        <v>0</v>
      </c>
      <c r="Y132" s="101">
        <f>IFERROR(_xlfn.XLOOKUP($A132,'Raw Data'!$G:$G,'Raw Data'!AJ:AJ),"")</f>
        <v>0</v>
      </c>
      <c r="Z132" s="101">
        <f>IFERROR(_xlfn.XLOOKUP($A132,'Raw Data'!$G:$G,'Raw Data'!AK:AK),"")</f>
        <v>0</v>
      </c>
      <c r="AA132" s="101">
        <f>IFERROR(_xlfn.XLOOKUP($A132,'Raw Data'!$G:$G,'Raw Data'!$AL:$AL)*(1+(_xlfn.XLOOKUP(Table13[[#This Row],[Month Year]],JMR!$A:$A,JMR!$J:$J))),"")</f>
        <v>0</v>
      </c>
      <c r="AB132" s="101">
        <f>IFERROR(_xlfn.XLOOKUP($A132,'Raw Data'!$G:$G,'Raw Data'!H:H),"")</f>
        <v>8.0208999999999993</v>
      </c>
      <c r="AC132" s="67">
        <f>IFERROR(_xlfn.XLOOKUP($D132,'Modelling New'!$D:$D,'Modelling New'!P:P),"")</f>
        <v>4.2161290322580642</v>
      </c>
      <c r="AD132" s="101">
        <f>IFERROR(_xlfn.XLOOKUP($D132,'Modelling New'!$D:$D,'Modelling New'!$T:$T)*1000,"")</f>
        <v>24273.156786520856</v>
      </c>
      <c r="AE132" s="109">
        <f>IFERROR(_xlfn.XLOOKUP($D132,'Modelling New'!$D:$D,'Modelling New'!O:O),"")</f>
        <v>0.71777654975663252</v>
      </c>
      <c r="AF132" s="108">
        <f>IFERROR(_xlfn.XLOOKUP($D132,'Modelling New'!$D:$D,'Modelling New'!W:W),"")</f>
        <v>0.12609327292095679</v>
      </c>
      <c r="AG132" s="108">
        <f>IFERROR(_xlfn.XLOOKUP($D132,'Modelling New'!$D:$D,'Modelling New'!AE:AE),"")</f>
        <v>0.98040000000000005</v>
      </c>
      <c r="AH132" s="128">
        <f>IFERROR(_xlfn.XLOOKUP($D132,'Modelling New'!$D:$D,'Modelling New'!AF:AF),"")</f>
        <v>0.98</v>
      </c>
      <c r="AN132" s="105"/>
      <c r="AO132" s="108"/>
      <c r="AP132" s="108"/>
      <c r="AQ132" s="108"/>
      <c r="AR132" s="101">
        <f>'Basic Data'!$B$98/1000</f>
        <v>8.0208999999999993</v>
      </c>
      <c r="AT132" s="7">
        <f>IFERROR(_xlfn.XLOOKUP(Table13[[#This Row],[Date]],'Raw Data'!$G:$G,'Raw Data'!$AN:$AN),"")</f>
        <v>0</v>
      </c>
      <c r="AU132" s="7">
        <f>IFERROR(_xlfn.XLOOKUP(Table13[[#This Row],[Month Year]],'Modelling New'!$D:$D,'Modelling New'!$AO:$AO),"")</f>
        <v>8</v>
      </c>
      <c r="AV132" s="7">
        <f>SUMIF('Curtailment Records'!$C:$C,Table13[[#This Row],[Date]],'Curtailment Records'!$R:$R)/1000</f>
        <v>0</v>
      </c>
    </row>
    <row r="133" spans="1:48" x14ac:dyDescent="0.3">
      <c r="A133" s="100">
        <f t="shared" si="11"/>
        <v>45876</v>
      </c>
      <c r="B133" s="101">
        <f>YEAR(Table13[[#This Row],[Date]])+IF(MONTH(Table13[[#This Row],[Date]])&gt;=4,1,0)</f>
        <v>2026</v>
      </c>
      <c r="C133" s="7">
        <f>YEAR(Table13[[#This Row],[Date]])</f>
        <v>2025</v>
      </c>
      <c r="D133" s="102">
        <f>Table13[[#This Row],[Date]]-DAY(Table13[[#This Row],[Date]])+1</f>
        <v>45870</v>
      </c>
      <c r="E133" s="7">
        <f t="shared" si="8"/>
        <v>31</v>
      </c>
      <c r="F133" s="103">
        <f>IFERROR(_xlfn.XLOOKUP($A133,'Raw Data'!$G:$G,'Raw Data'!$AM:$AM),"")</f>
        <v>0</v>
      </c>
      <c r="G133" s="104">
        <f>IFERROR(_xlfn.XLOOKUP($A133,'Raw Data'!$G:$G,'Raw Data'!$AB:$AB),"")</f>
        <v>0</v>
      </c>
      <c r="H133" s="104"/>
      <c r="I133" s="104">
        <f>IFERROR(_xlfn.XLOOKUP($A133,'Raw Data'!$G:$G,'Raw Data'!$AC:$AC),"")</f>
        <v>0</v>
      </c>
      <c r="J133" s="104"/>
      <c r="K133" s="104">
        <f>IFERROR(_xlfn.XLOOKUP($A133,'Raw Data'!$G:$G,'Raw Data'!AD:AD),"")</f>
        <v>0</v>
      </c>
      <c r="L133" s="104">
        <f>IFERROR(_xlfn.XLOOKUP($A133,'Raw Data'!$G:$G,'Raw Data'!AE:AE),"")</f>
        <v>0</v>
      </c>
      <c r="M133" s="104">
        <f>IFERROR(_xlfn.XLOOKUP($A133,'Raw Data'!$G:$G,'Raw Data'!AF:AF),"")</f>
        <v>0</v>
      </c>
      <c r="N133" s="104">
        <f>IFERROR(_xlfn.XLOOKUP($A133,'Raw Data'!$G:$G,'Raw Data'!AG:AG),"")</f>
        <v>0</v>
      </c>
      <c r="O133" s="105" t="str">
        <f>IFERROR(1-SUMIF('Plant BD'!$B:$B,$A133,'Plant BD'!$AM:$AM)/($AA133+SUMIF('Plant BD'!$B:$B,$A133,'Plant BD'!$AM:$AM)),"")</f>
        <v/>
      </c>
      <c r="P133" s="105"/>
      <c r="Q133" s="106"/>
      <c r="R133" s="105" t="str">
        <f>IFERROR(1-SUMIF('Grid BD'!$B:$B,$A133,'Grid BD'!$AE:$AE)/($AA133+SUMIF('Grid BD'!$B:$B,$A133,'Grid BD'!$AE:$AE)),"")</f>
        <v/>
      </c>
      <c r="T133" s="106"/>
      <c r="U133" s="107" t="str">
        <f t="shared" si="9"/>
        <v/>
      </c>
      <c r="V133" s="107"/>
      <c r="W133" s="108">
        <f t="shared" si="10"/>
        <v>0</v>
      </c>
      <c r="X133" s="101">
        <f>IFERROR(_xlfn.XLOOKUP($A133,'Raw Data'!$G:$G,'Raw Data'!AI:AI),"")</f>
        <v>0</v>
      </c>
      <c r="Y133" s="101">
        <f>IFERROR(_xlfn.XLOOKUP($A133,'Raw Data'!$G:$G,'Raw Data'!AJ:AJ),"")</f>
        <v>0</v>
      </c>
      <c r="Z133" s="101">
        <f>IFERROR(_xlfn.XLOOKUP($A133,'Raw Data'!$G:$G,'Raw Data'!AK:AK),"")</f>
        <v>0</v>
      </c>
      <c r="AA133" s="101">
        <f>IFERROR(_xlfn.XLOOKUP($A133,'Raw Data'!$G:$G,'Raw Data'!$AL:$AL)*(1+(_xlfn.XLOOKUP(Table13[[#This Row],[Month Year]],JMR!$A:$A,JMR!$J:$J))),"")</f>
        <v>0</v>
      </c>
      <c r="AB133" s="101">
        <f>IFERROR(_xlfn.XLOOKUP($A133,'Raw Data'!$G:$G,'Raw Data'!H:H),"")</f>
        <v>8.0208999999999993</v>
      </c>
      <c r="AC133" s="67">
        <f>IFERROR(_xlfn.XLOOKUP($D133,'Modelling New'!$D:$D,'Modelling New'!P:P),"")</f>
        <v>4.2161290322580642</v>
      </c>
      <c r="AD133" s="101">
        <f>IFERROR(_xlfn.XLOOKUP($D133,'Modelling New'!$D:$D,'Modelling New'!$T:$T)*1000,"")</f>
        <v>24273.156786520856</v>
      </c>
      <c r="AE133" s="109">
        <f>IFERROR(_xlfn.XLOOKUP($D133,'Modelling New'!$D:$D,'Modelling New'!O:O),"")</f>
        <v>0.71777654975663252</v>
      </c>
      <c r="AF133" s="108">
        <f>IFERROR(_xlfn.XLOOKUP($D133,'Modelling New'!$D:$D,'Modelling New'!W:W),"")</f>
        <v>0.12609327292095679</v>
      </c>
      <c r="AG133" s="108">
        <f>IFERROR(_xlfn.XLOOKUP($D133,'Modelling New'!$D:$D,'Modelling New'!AE:AE),"")</f>
        <v>0.98040000000000005</v>
      </c>
      <c r="AH133" s="128">
        <f>IFERROR(_xlfn.XLOOKUP($D133,'Modelling New'!$D:$D,'Modelling New'!AF:AF),"")</f>
        <v>0.98</v>
      </c>
      <c r="AN133" s="105"/>
      <c r="AO133" s="108"/>
      <c r="AP133" s="108"/>
      <c r="AQ133" s="108"/>
      <c r="AR133" s="101">
        <f>'Basic Data'!$B$98/1000</f>
        <v>8.0208999999999993</v>
      </c>
      <c r="AT133" s="7">
        <f>IFERROR(_xlfn.XLOOKUP(Table13[[#This Row],[Date]],'Raw Data'!$G:$G,'Raw Data'!$AN:$AN),"")</f>
        <v>0</v>
      </c>
      <c r="AU133" s="7">
        <f>IFERROR(_xlfn.XLOOKUP(Table13[[#This Row],[Month Year]],'Modelling New'!$D:$D,'Modelling New'!$AO:$AO),"")</f>
        <v>8</v>
      </c>
      <c r="AV133" s="7">
        <f>SUMIF('Curtailment Records'!$C:$C,Table13[[#This Row],[Date]],'Curtailment Records'!$R:$R)/1000</f>
        <v>0</v>
      </c>
    </row>
    <row r="134" spans="1:48" x14ac:dyDescent="0.3">
      <c r="A134" s="100">
        <f t="shared" si="11"/>
        <v>45877</v>
      </c>
      <c r="B134" s="101">
        <f>YEAR(Table13[[#This Row],[Date]])+IF(MONTH(Table13[[#This Row],[Date]])&gt;=4,1,0)</f>
        <v>2026</v>
      </c>
      <c r="C134" s="7">
        <f>YEAR(Table13[[#This Row],[Date]])</f>
        <v>2025</v>
      </c>
      <c r="D134" s="102">
        <f>Table13[[#This Row],[Date]]-DAY(Table13[[#This Row],[Date]])+1</f>
        <v>45870</v>
      </c>
      <c r="E134" s="7">
        <f t="shared" si="8"/>
        <v>31</v>
      </c>
      <c r="F134" s="103">
        <f>IFERROR(_xlfn.XLOOKUP($A134,'Raw Data'!$G:$G,'Raw Data'!$AM:$AM),"")</f>
        <v>0</v>
      </c>
      <c r="G134" s="104">
        <f>IFERROR(_xlfn.XLOOKUP($A134,'Raw Data'!$G:$G,'Raw Data'!$AB:$AB),"")</f>
        <v>0</v>
      </c>
      <c r="H134" s="104"/>
      <c r="I134" s="104">
        <f>IFERROR(_xlfn.XLOOKUP($A134,'Raw Data'!$G:$G,'Raw Data'!$AC:$AC),"")</f>
        <v>0</v>
      </c>
      <c r="J134" s="104"/>
      <c r="K134" s="104">
        <f>IFERROR(_xlfn.XLOOKUP($A134,'Raw Data'!$G:$G,'Raw Data'!AD:AD),"")</f>
        <v>0</v>
      </c>
      <c r="L134" s="104">
        <f>IFERROR(_xlfn.XLOOKUP($A134,'Raw Data'!$G:$G,'Raw Data'!AE:AE),"")</f>
        <v>0</v>
      </c>
      <c r="M134" s="104">
        <f>IFERROR(_xlfn.XLOOKUP($A134,'Raw Data'!$G:$G,'Raw Data'!AF:AF),"")</f>
        <v>0</v>
      </c>
      <c r="N134" s="104">
        <f>IFERROR(_xlfn.XLOOKUP($A134,'Raw Data'!$G:$G,'Raw Data'!AG:AG),"")</f>
        <v>0</v>
      </c>
      <c r="O134" s="105" t="str">
        <f>IFERROR(1-SUMIF('Plant BD'!$B:$B,$A134,'Plant BD'!$AM:$AM)/($AA134+SUMIF('Plant BD'!$B:$B,$A134,'Plant BD'!$AM:$AM)),"")</f>
        <v/>
      </c>
      <c r="P134" s="105"/>
      <c r="Q134" s="106"/>
      <c r="R134" s="105" t="str">
        <f>IFERROR(1-SUMIF('Grid BD'!$B:$B,$A134,'Grid BD'!$AE:$AE)/($AA134+SUMIF('Grid BD'!$B:$B,$A134,'Grid BD'!$AE:$AE)),"")</f>
        <v/>
      </c>
      <c r="T134" s="106"/>
      <c r="U134" s="107" t="str">
        <f t="shared" si="9"/>
        <v/>
      </c>
      <c r="V134" s="107"/>
      <c r="W134" s="108">
        <f t="shared" si="10"/>
        <v>0</v>
      </c>
      <c r="X134" s="101">
        <f>IFERROR(_xlfn.XLOOKUP($A134,'Raw Data'!$G:$G,'Raw Data'!AI:AI),"")</f>
        <v>0</v>
      </c>
      <c r="Y134" s="101">
        <f>IFERROR(_xlfn.XLOOKUP($A134,'Raw Data'!$G:$G,'Raw Data'!AJ:AJ),"")</f>
        <v>0</v>
      </c>
      <c r="Z134" s="101">
        <f>IFERROR(_xlfn.XLOOKUP($A134,'Raw Data'!$G:$G,'Raw Data'!AK:AK),"")</f>
        <v>0</v>
      </c>
      <c r="AA134" s="101">
        <f>IFERROR(_xlfn.XLOOKUP($A134,'Raw Data'!$G:$G,'Raw Data'!$AL:$AL)*(1+(_xlfn.XLOOKUP(Table13[[#This Row],[Month Year]],JMR!$A:$A,JMR!$J:$J))),"")</f>
        <v>0</v>
      </c>
      <c r="AB134" s="101">
        <f>IFERROR(_xlfn.XLOOKUP($A134,'Raw Data'!$G:$G,'Raw Data'!H:H),"")</f>
        <v>8.0208999999999993</v>
      </c>
      <c r="AC134" s="67">
        <f>IFERROR(_xlfn.XLOOKUP($D134,'Modelling New'!$D:$D,'Modelling New'!P:P),"")</f>
        <v>4.2161290322580642</v>
      </c>
      <c r="AD134" s="101">
        <f>IFERROR(_xlfn.XLOOKUP($D134,'Modelling New'!$D:$D,'Modelling New'!$T:$T)*1000,"")</f>
        <v>24273.156786520856</v>
      </c>
      <c r="AE134" s="109">
        <f>IFERROR(_xlfn.XLOOKUP($D134,'Modelling New'!$D:$D,'Modelling New'!O:O),"")</f>
        <v>0.71777654975663252</v>
      </c>
      <c r="AF134" s="108">
        <f>IFERROR(_xlfn.XLOOKUP($D134,'Modelling New'!$D:$D,'Modelling New'!W:W),"")</f>
        <v>0.12609327292095679</v>
      </c>
      <c r="AG134" s="108">
        <f>IFERROR(_xlfn.XLOOKUP($D134,'Modelling New'!$D:$D,'Modelling New'!AE:AE),"")</f>
        <v>0.98040000000000005</v>
      </c>
      <c r="AH134" s="128">
        <f>IFERROR(_xlfn.XLOOKUP($D134,'Modelling New'!$D:$D,'Modelling New'!AF:AF),"")</f>
        <v>0.98</v>
      </c>
      <c r="AN134" s="105"/>
      <c r="AO134" s="108"/>
      <c r="AP134" s="108"/>
      <c r="AQ134" s="108"/>
      <c r="AR134" s="101">
        <f>'Basic Data'!$B$98/1000</f>
        <v>8.0208999999999993</v>
      </c>
      <c r="AT134" s="7">
        <f>IFERROR(_xlfn.XLOOKUP(Table13[[#This Row],[Date]],'Raw Data'!$G:$G,'Raw Data'!$AN:$AN),"")</f>
        <v>0</v>
      </c>
      <c r="AU134" s="7">
        <f>IFERROR(_xlfn.XLOOKUP(Table13[[#This Row],[Month Year]],'Modelling New'!$D:$D,'Modelling New'!$AO:$AO),"")</f>
        <v>8</v>
      </c>
      <c r="AV134" s="7">
        <f>SUMIF('Curtailment Records'!$C:$C,Table13[[#This Row],[Date]],'Curtailment Records'!$R:$R)/1000</f>
        <v>0</v>
      </c>
    </row>
    <row r="135" spans="1:48" x14ac:dyDescent="0.3">
      <c r="A135" s="100">
        <f t="shared" si="11"/>
        <v>45878</v>
      </c>
      <c r="B135" s="101">
        <f>YEAR(Table13[[#This Row],[Date]])+IF(MONTH(Table13[[#This Row],[Date]])&gt;=4,1,0)</f>
        <v>2026</v>
      </c>
      <c r="C135" s="7">
        <f>YEAR(Table13[[#This Row],[Date]])</f>
        <v>2025</v>
      </c>
      <c r="D135" s="102">
        <f>Table13[[#This Row],[Date]]-DAY(Table13[[#This Row],[Date]])+1</f>
        <v>45870</v>
      </c>
      <c r="E135" s="7">
        <f t="shared" si="8"/>
        <v>31</v>
      </c>
      <c r="F135" s="103">
        <f>IFERROR(_xlfn.XLOOKUP($A135,'Raw Data'!$G:$G,'Raw Data'!$AM:$AM),"")</f>
        <v>0</v>
      </c>
      <c r="G135" s="104">
        <f>IFERROR(_xlfn.XLOOKUP($A135,'Raw Data'!$G:$G,'Raw Data'!$AB:$AB),"")</f>
        <v>0</v>
      </c>
      <c r="H135" s="104"/>
      <c r="I135" s="104">
        <f>IFERROR(_xlfn.XLOOKUP($A135,'Raw Data'!$G:$G,'Raw Data'!$AC:$AC),"")</f>
        <v>0</v>
      </c>
      <c r="J135" s="104"/>
      <c r="K135" s="104">
        <f>IFERROR(_xlfn.XLOOKUP($A135,'Raw Data'!$G:$G,'Raw Data'!AD:AD),"")</f>
        <v>0</v>
      </c>
      <c r="L135" s="104">
        <f>IFERROR(_xlfn.XLOOKUP($A135,'Raw Data'!$G:$G,'Raw Data'!AE:AE),"")</f>
        <v>0</v>
      </c>
      <c r="M135" s="104">
        <f>IFERROR(_xlfn.XLOOKUP($A135,'Raw Data'!$G:$G,'Raw Data'!AF:AF),"")</f>
        <v>0</v>
      </c>
      <c r="N135" s="104">
        <f>IFERROR(_xlfn.XLOOKUP($A135,'Raw Data'!$G:$G,'Raw Data'!AG:AG),"")</f>
        <v>0</v>
      </c>
      <c r="O135" s="105" t="str">
        <f>IFERROR(1-SUMIF('Plant BD'!$B:$B,$A135,'Plant BD'!$AM:$AM)/($AA135+SUMIF('Plant BD'!$B:$B,$A135,'Plant BD'!$AM:$AM)),"")</f>
        <v/>
      </c>
      <c r="P135" s="105"/>
      <c r="Q135" s="106"/>
      <c r="R135" s="105" t="str">
        <f>IFERROR(1-SUMIF('Grid BD'!$B:$B,$A135,'Grid BD'!$AE:$AE)/($AA135+SUMIF('Grid BD'!$B:$B,$A135,'Grid BD'!$AE:$AE)),"")</f>
        <v/>
      </c>
      <c r="T135" s="106"/>
      <c r="U135" s="107" t="str">
        <f t="shared" si="9"/>
        <v/>
      </c>
      <c r="V135" s="107"/>
      <c r="W135" s="108">
        <f t="shared" si="10"/>
        <v>0</v>
      </c>
      <c r="X135" s="101">
        <f>IFERROR(_xlfn.XLOOKUP($A135,'Raw Data'!$G:$G,'Raw Data'!AI:AI),"")</f>
        <v>0</v>
      </c>
      <c r="Y135" s="101">
        <f>IFERROR(_xlfn.XLOOKUP($A135,'Raw Data'!$G:$G,'Raw Data'!AJ:AJ),"")</f>
        <v>0</v>
      </c>
      <c r="Z135" s="101">
        <f>IFERROR(_xlfn.XLOOKUP($A135,'Raw Data'!$G:$G,'Raw Data'!AK:AK),"")</f>
        <v>0</v>
      </c>
      <c r="AA135" s="101">
        <f>IFERROR(_xlfn.XLOOKUP($A135,'Raw Data'!$G:$G,'Raw Data'!$AL:$AL)*(1+(_xlfn.XLOOKUP(Table13[[#This Row],[Month Year]],JMR!$A:$A,JMR!$J:$J))),"")</f>
        <v>0</v>
      </c>
      <c r="AB135" s="101">
        <f>IFERROR(_xlfn.XLOOKUP($A135,'Raw Data'!$G:$G,'Raw Data'!H:H),"")</f>
        <v>8.0208999999999993</v>
      </c>
      <c r="AC135" s="67">
        <f>IFERROR(_xlfn.XLOOKUP($D135,'Modelling New'!$D:$D,'Modelling New'!P:P),"")</f>
        <v>4.2161290322580642</v>
      </c>
      <c r="AD135" s="101">
        <f>IFERROR(_xlfn.XLOOKUP($D135,'Modelling New'!$D:$D,'Modelling New'!$T:$T)*1000,"")</f>
        <v>24273.156786520856</v>
      </c>
      <c r="AE135" s="109">
        <f>IFERROR(_xlfn.XLOOKUP($D135,'Modelling New'!$D:$D,'Modelling New'!O:O),"")</f>
        <v>0.71777654975663252</v>
      </c>
      <c r="AF135" s="108">
        <f>IFERROR(_xlfn.XLOOKUP($D135,'Modelling New'!$D:$D,'Modelling New'!W:W),"")</f>
        <v>0.12609327292095679</v>
      </c>
      <c r="AG135" s="108">
        <f>IFERROR(_xlfn.XLOOKUP($D135,'Modelling New'!$D:$D,'Modelling New'!AE:AE),"")</f>
        <v>0.98040000000000005</v>
      </c>
      <c r="AH135" s="128">
        <f>IFERROR(_xlfn.XLOOKUP($D135,'Modelling New'!$D:$D,'Modelling New'!AF:AF),"")</f>
        <v>0.98</v>
      </c>
      <c r="AN135" s="105"/>
      <c r="AO135" s="108"/>
      <c r="AP135" s="108"/>
      <c r="AQ135" s="108"/>
      <c r="AR135" s="101">
        <f>'Basic Data'!$B$98/1000</f>
        <v>8.0208999999999993</v>
      </c>
      <c r="AT135" s="7">
        <f>IFERROR(_xlfn.XLOOKUP(Table13[[#This Row],[Date]],'Raw Data'!$G:$G,'Raw Data'!$AN:$AN),"")</f>
        <v>0</v>
      </c>
      <c r="AU135" s="7">
        <f>IFERROR(_xlfn.XLOOKUP(Table13[[#This Row],[Month Year]],'Modelling New'!$D:$D,'Modelling New'!$AO:$AO),"")</f>
        <v>8</v>
      </c>
      <c r="AV135" s="7">
        <f>SUMIF('Curtailment Records'!$C:$C,Table13[[#This Row],[Date]],'Curtailment Records'!$R:$R)/1000</f>
        <v>0</v>
      </c>
    </row>
    <row r="136" spans="1:48" x14ac:dyDescent="0.3">
      <c r="A136" s="100">
        <f t="shared" si="11"/>
        <v>45879</v>
      </c>
      <c r="B136" s="101">
        <f>YEAR(Table13[[#This Row],[Date]])+IF(MONTH(Table13[[#This Row],[Date]])&gt;=4,1,0)</f>
        <v>2026</v>
      </c>
      <c r="C136" s="7">
        <f>YEAR(Table13[[#This Row],[Date]])</f>
        <v>2025</v>
      </c>
      <c r="D136" s="102">
        <f>Table13[[#This Row],[Date]]-DAY(Table13[[#This Row],[Date]])+1</f>
        <v>45870</v>
      </c>
      <c r="E136" s="7">
        <f t="shared" si="8"/>
        <v>31</v>
      </c>
      <c r="F136" s="103">
        <f>IFERROR(_xlfn.XLOOKUP($A136,'Raw Data'!$G:$G,'Raw Data'!$AM:$AM),"")</f>
        <v>0</v>
      </c>
      <c r="G136" s="104">
        <f>IFERROR(_xlfn.XLOOKUP($A136,'Raw Data'!$G:$G,'Raw Data'!$AB:$AB),"")</f>
        <v>0</v>
      </c>
      <c r="H136" s="104"/>
      <c r="I136" s="104">
        <f>IFERROR(_xlfn.XLOOKUP($A136,'Raw Data'!$G:$G,'Raw Data'!$AC:$AC),"")</f>
        <v>0</v>
      </c>
      <c r="J136" s="104"/>
      <c r="K136" s="104">
        <f>IFERROR(_xlfn.XLOOKUP($A136,'Raw Data'!$G:$G,'Raw Data'!AD:AD),"")</f>
        <v>0</v>
      </c>
      <c r="L136" s="104">
        <f>IFERROR(_xlfn.XLOOKUP($A136,'Raw Data'!$G:$G,'Raw Data'!AE:AE),"")</f>
        <v>0</v>
      </c>
      <c r="M136" s="104">
        <f>IFERROR(_xlfn.XLOOKUP($A136,'Raw Data'!$G:$G,'Raw Data'!AF:AF),"")</f>
        <v>0</v>
      </c>
      <c r="N136" s="104">
        <f>IFERROR(_xlfn.XLOOKUP($A136,'Raw Data'!$G:$G,'Raw Data'!AG:AG),"")</f>
        <v>0</v>
      </c>
      <c r="O136" s="105" t="str">
        <f>IFERROR(1-SUMIF('Plant BD'!$B:$B,$A136,'Plant BD'!$AM:$AM)/($AA136+SUMIF('Plant BD'!$B:$B,$A136,'Plant BD'!$AM:$AM)),"")</f>
        <v/>
      </c>
      <c r="P136" s="105"/>
      <c r="Q136" s="106"/>
      <c r="R136" s="105" t="str">
        <f>IFERROR(1-SUMIF('Grid BD'!$B:$B,$A136,'Grid BD'!$AE:$AE)/($AA136+SUMIF('Grid BD'!$B:$B,$A136,'Grid BD'!$AE:$AE)),"")</f>
        <v/>
      </c>
      <c r="T136" s="106"/>
      <c r="U136" s="107" t="str">
        <f t="shared" si="9"/>
        <v/>
      </c>
      <c r="V136" s="107"/>
      <c r="W136" s="108">
        <f t="shared" si="10"/>
        <v>0</v>
      </c>
      <c r="X136" s="101">
        <f>IFERROR(_xlfn.XLOOKUP($A136,'Raw Data'!$G:$G,'Raw Data'!AI:AI),"")</f>
        <v>0</v>
      </c>
      <c r="Y136" s="101">
        <f>IFERROR(_xlfn.XLOOKUP($A136,'Raw Data'!$G:$G,'Raw Data'!AJ:AJ),"")</f>
        <v>0</v>
      </c>
      <c r="Z136" s="101">
        <f>IFERROR(_xlfn.XLOOKUP($A136,'Raw Data'!$G:$G,'Raw Data'!AK:AK),"")</f>
        <v>0</v>
      </c>
      <c r="AA136" s="101">
        <f>IFERROR(_xlfn.XLOOKUP($A136,'Raw Data'!$G:$G,'Raw Data'!$AL:$AL)*(1+(_xlfn.XLOOKUP(Table13[[#This Row],[Month Year]],JMR!$A:$A,JMR!$J:$J))),"")</f>
        <v>0</v>
      </c>
      <c r="AB136" s="101">
        <f>IFERROR(_xlfn.XLOOKUP($A136,'Raw Data'!$G:$G,'Raw Data'!H:H),"")</f>
        <v>8.0208999999999993</v>
      </c>
      <c r="AC136" s="67">
        <f>IFERROR(_xlfn.XLOOKUP($D136,'Modelling New'!$D:$D,'Modelling New'!P:P),"")</f>
        <v>4.2161290322580642</v>
      </c>
      <c r="AD136" s="101">
        <f>IFERROR(_xlfn.XLOOKUP($D136,'Modelling New'!$D:$D,'Modelling New'!$T:$T)*1000,"")</f>
        <v>24273.156786520856</v>
      </c>
      <c r="AE136" s="109">
        <f>IFERROR(_xlfn.XLOOKUP($D136,'Modelling New'!$D:$D,'Modelling New'!O:O),"")</f>
        <v>0.71777654975663252</v>
      </c>
      <c r="AF136" s="108">
        <f>IFERROR(_xlfn.XLOOKUP($D136,'Modelling New'!$D:$D,'Modelling New'!W:W),"")</f>
        <v>0.12609327292095679</v>
      </c>
      <c r="AG136" s="108">
        <f>IFERROR(_xlfn.XLOOKUP($D136,'Modelling New'!$D:$D,'Modelling New'!AE:AE),"")</f>
        <v>0.98040000000000005</v>
      </c>
      <c r="AH136" s="128">
        <f>IFERROR(_xlfn.XLOOKUP($D136,'Modelling New'!$D:$D,'Modelling New'!AF:AF),"")</f>
        <v>0.98</v>
      </c>
      <c r="AN136" s="105"/>
      <c r="AO136" s="108"/>
      <c r="AP136" s="108"/>
      <c r="AQ136" s="108"/>
      <c r="AR136" s="101">
        <f>'Basic Data'!$B$98/1000</f>
        <v>8.0208999999999993</v>
      </c>
      <c r="AT136" s="7">
        <f>IFERROR(_xlfn.XLOOKUP(Table13[[#This Row],[Date]],'Raw Data'!$G:$G,'Raw Data'!$AN:$AN),"")</f>
        <v>0</v>
      </c>
      <c r="AU136" s="7">
        <f>IFERROR(_xlfn.XLOOKUP(Table13[[#This Row],[Month Year]],'Modelling New'!$D:$D,'Modelling New'!$AO:$AO),"")</f>
        <v>8</v>
      </c>
      <c r="AV136" s="7">
        <f>SUMIF('Curtailment Records'!$C:$C,Table13[[#This Row],[Date]],'Curtailment Records'!$R:$R)/1000</f>
        <v>0</v>
      </c>
    </row>
    <row r="137" spans="1:48" x14ac:dyDescent="0.3">
      <c r="A137" s="100">
        <f t="shared" si="11"/>
        <v>45880</v>
      </c>
      <c r="B137" s="101">
        <f>YEAR(Table13[[#This Row],[Date]])+IF(MONTH(Table13[[#This Row],[Date]])&gt;=4,1,0)</f>
        <v>2026</v>
      </c>
      <c r="C137" s="7">
        <f>YEAR(Table13[[#This Row],[Date]])</f>
        <v>2025</v>
      </c>
      <c r="D137" s="102">
        <f>Table13[[#This Row],[Date]]-DAY(Table13[[#This Row],[Date]])+1</f>
        <v>45870</v>
      </c>
      <c r="E137" s="7">
        <f t="shared" si="8"/>
        <v>31</v>
      </c>
      <c r="F137" s="103">
        <f>IFERROR(_xlfn.XLOOKUP($A137,'Raw Data'!$G:$G,'Raw Data'!$AM:$AM),"")</f>
        <v>0</v>
      </c>
      <c r="G137" s="104">
        <f>IFERROR(_xlfn.XLOOKUP($A137,'Raw Data'!$G:$G,'Raw Data'!$AB:$AB),"")</f>
        <v>0</v>
      </c>
      <c r="H137" s="104"/>
      <c r="I137" s="104">
        <f>IFERROR(_xlfn.XLOOKUP($A137,'Raw Data'!$G:$G,'Raw Data'!$AC:$AC),"")</f>
        <v>0</v>
      </c>
      <c r="J137" s="104"/>
      <c r="K137" s="104">
        <f>IFERROR(_xlfn.XLOOKUP($A137,'Raw Data'!$G:$G,'Raw Data'!AD:AD),"")</f>
        <v>0</v>
      </c>
      <c r="L137" s="104">
        <f>IFERROR(_xlfn.XLOOKUP($A137,'Raw Data'!$G:$G,'Raw Data'!AE:AE),"")</f>
        <v>0</v>
      </c>
      <c r="M137" s="104">
        <f>IFERROR(_xlfn.XLOOKUP($A137,'Raw Data'!$G:$G,'Raw Data'!AF:AF),"")</f>
        <v>0</v>
      </c>
      <c r="N137" s="104">
        <f>IFERROR(_xlfn.XLOOKUP($A137,'Raw Data'!$G:$G,'Raw Data'!AG:AG),"")</f>
        <v>0</v>
      </c>
      <c r="O137" s="105" t="str">
        <f>IFERROR(1-SUMIF('Plant BD'!$B:$B,$A137,'Plant BD'!$AM:$AM)/($AA137+SUMIF('Plant BD'!$B:$B,$A137,'Plant BD'!$AM:$AM)),"")</f>
        <v/>
      </c>
      <c r="P137" s="105"/>
      <c r="Q137" s="106"/>
      <c r="R137" s="105" t="str">
        <f>IFERROR(1-SUMIF('Grid BD'!$B:$B,$A137,'Grid BD'!$AE:$AE)/($AA137+SUMIF('Grid BD'!$B:$B,$A137,'Grid BD'!$AE:$AE)),"")</f>
        <v/>
      </c>
      <c r="T137" s="106"/>
      <c r="U137" s="107" t="str">
        <f t="shared" si="9"/>
        <v/>
      </c>
      <c r="V137" s="107"/>
      <c r="W137" s="108">
        <f t="shared" si="10"/>
        <v>0</v>
      </c>
      <c r="X137" s="101">
        <f>IFERROR(_xlfn.XLOOKUP($A137,'Raw Data'!$G:$G,'Raw Data'!AI:AI),"")</f>
        <v>0</v>
      </c>
      <c r="Y137" s="101">
        <f>IFERROR(_xlfn.XLOOKUP($A137,'Raw Data'!$G:$G,'Raw Data'!AJ:AJ),"")</f>
        <v>0</v>
      </c>
      <c r="Z137" s="101">
        <f>IFERROR(_xlfn.XLOOKUP($A137,'Raw Data'!$G:$G,'Raw Data'!AK:AK),"")</f>
        <v>0</v>
      </c>
      <c r="AA137" s="101">
        <f>IFERROR(_xlfn.XLOOKUP($A137,'Raw Data'!$G:$G,'Raw Data'!$AL:$AL)*(1+(_xlfn.XLOOKUP(Table13[[#This Row],[Month Year]],JMR!$A:$A,JMR!$J:$J))),"")</f>
        <v>0</v>
      </c>
      <c r="AB137" s="101">
        <f>IFERROR(_xlfn.XLOOKUP($A137,'Raw Data'!$G:$G,'Raw Data'!H:H),"")</f>
        <v>8.0208999999999993</v>
      </c>
      <c r="AC137" s="67">
        <f>IFERROR(_xlfn.XLOOKUP($D137,'Modelling New'!$D:$D,'Modelling New'!P:P),"")</f>
        <v>4.2161290322580642</v>
      </c>
      <c r="AD137" s="101">
        <f>IFERROR(_xlfn.XLOOKUP($D137,'Modelling New'!$D:$D,'Modelling New'!$T:$T)*1000,"")</f>
        <v>24273.156786520856</v>
      </c>
      <c r="AE137" s="109">
        <f>IFERROR(_xlfn.XLOOKUP($D137,'Modelling New'!$D:$D,'Modelling New'!O:O),"")</f>
        <v>0.71777654975663252</v>
      </c>
      <c r="AF137" s="108">
        <f>IFERROR(_xlfn.XLOOKUP($D137,'Modelling New'!$D:$D,'Modelling New'!W:W),"")</f>
        <v>0.12609327292095679</v>
      </c>
      <c r="AG137" s="108">
        <f>IFERROR(_xlfn.XLOOKUP($D137,'Modelling New'!$D:$D,'Modelling New'!AE:AE),"")</f>
        <v>0.98040000000000005</v>
      </c>
      <c r="AH137" s="128">
        <f>IFERROR(_xlfn.XLOOKUP($D137,'Modelling New'!$D:$D,'Modelling New'!AF:AF),"")</f>
        <v>0.98</v>
      </c>
      <c r="AN137" s="105"/>
      <c r="AO137" s="108"/>
      <c r="AP137" s="108"/>
      <c r="AQ137" s="108"/>
      <c r="AR137" s="101">
        <f>'Basic Data'!$B$98/1000</f>
        <v>8.0208999999999993</v>
      </c>
      <c r="AT137" s="7">
        <f>IFERROR(_xlfn.XLOOKUP(Table13[[#This Row],[Date]],'Raw Data'!$G:$G,'Raw Data'!$AN:$AN),"")</f>
        <v>0</v>
      </c>
      <c r="AU137" s="7">
        <f>IFERROR(_xlfn.XLOOKUP(Table13[[#This Row],[Month Year]],'Modelling New'!$D:$D,'Modelling New'!$AO:$AO),"")</f>
        <v>8</v>
      </c>
      <c r="AV137" s="7">
        <f>SUMIF('Curtailment Records'!$C:$C,Table13[[#This Row],[Date]],'Curtailment Records'!$R:$R)/1000</f>
        <v>0</v>
      </c>
    </row>
    <row r="138" spans="1:48" x14ac:dyDescent="0.3">
      <c r="A138" s="100">
        <f t="shared" si="11"/>
        <v>45881</v>
      </c>
      <c r="B138" s="101">
        <f>YEAR(Table13[[#This Row],[Date]])+IF(MONTH(Table13[[#This Row],[Date]])&gt;=4,1,0)</f>
        <v>2026</v>
      </c>
      <c r="C138" s="7">
        <f>YEAR(Table13[[#This Row],[Date]])</f>
        <v>2025</v>
      </c>
      <c r="D138" s="102">
        <f>Table13[[#This Row],[Date]]-DAY(Table13[[#This Row],[Date]])+1</f>
        <v>45870</v>
      </c>
      <c r="E138" s="7">
        <f t="shared" si="8"/>
        <v>31</v>
      </c>
      <c r="F138" s="103">
        <f>IFERROR(_xlfn.XLOOKUP($A138,'Raw Data'!$G:$G,'Raw Data'!$AM:$AM),"")</f>
        <v>0</v>
      </c>
      <c r="G138" s="104">
        <f>IFERROR(_xlfn.XLOOKUP($A138,'Raw Data'!$G:$G,'Raw Data'!$AB:$AB),"")</f>
        <v>0</v>
      </c>
      <c r="H138" s="104"/>
      <c r="I138" s="104">
        <f>IFERROR(_xlfn.XLOOKUP($A138,'Raw Data'!$G:$G,'Raw Data'!$AC:$AC),"")</f>
        <v>0</v>
      </c>
      <c r="J138" s="104"/>
      <c r="K138" s="104">
        <f>IFERROR(_xlfn.XLOOKUP($A138,'Raw Data'!$G:$G,'Raw Data'!AD:AD),"")</f>
        <v>0</v>
      </c>
      <c r="L138" s="104">
        <f>IFERROR(_xlfn.XLOOKUP($A138,'Raw Data'!$G:$G,'Raw Data'!AE:AE),"")</f>
        <v>0</v>
      </c>
      <c r="M138" s="104">
        <f>IFERROR(_xlfn.XLOOKUP($A138,'Raw Data'!$G:$G,'Raw Data'!AF:AF),"")</f>
        <v>0</v>
      </c>
      <c r="N138" s="104">
        <f>IFERROR(_xlfn.XLOOKUP($A138,'Raw Data'!$G:$G,'Raw Data'!AG:AG),"")</f>
        <v>0</v>
      </c>
      <c r="O138" s="105" t="str">
        <f>IFERROR(1-SUMIF('Plant BD'!$B:$B,$A138,'Plant BD'!$AM:$AM)/($AA138+SUMIF('Plant BD'!$B:$B,$A138,'Plant BD'!$AM:$AM)),"")</f>
        <v/>
      </c>
      <c r="P138" s="105"/>
      <c r="Q138" s="106"/>
      <c r="R138" s="105" t="str">
        <f>IFERROR(1-SUMIF('Grid BD'!$B:$B,$A138,'Grid BD'!$AE:$AE)/($AA138+SUMIF('Grid BD'!$B:$B,$A138,'Grid BD'!$AE:$AE)),"")</f>
        <v/>
      </c>
      <c r="T138" s="106"/>
      <c r="U138" s="107" t="str">
        <f t="shared" si="9"/>
        <v/>
      </c>
      <c r="V138" s="107"/>
      <c r="W138" s="108">
        <f t="shared" si="10"/>
        <v>0</v>
      </c>
      <c r="X138" s="101">
        <f>IFERROR(_xlfn.XLOOKUP($A138,'Raw Data'!$G:$G,'Raw Data'!AI:AI),"")</f>
        <v>0</v>
      </c>
      <c r="Y138" s="101">
        <f>IFERROR(_xlfn.XLOOKUP($A138,'Raw Data'!$G:$G,'Raw Data'!AJ:AJ),"")</f>
        <v>0</v>
      </c>
      <c r="Z138" s="101">
        <f>IFERROR(_xlfn.XLOOKUP($A138,'Raw Data'!$G:$G,'Raw Data'!AK:AK),"")</f>
        <v>0</v>
      </c>
      <c r="AA138" s="101">
        <f>IFERROR(_xlfn.XLOOKUP($A138,'Raw Data'!$G:$G,'Raw Data'!$AL:$AL)*(1+(_xlfn.XLOOKUP(Table13[[#This Row],[Month Year]],JMR!$A:$A,JMR!$J:$J))),"")</f>
        <v>0</v>
      </c>
      <c r="AB138" s="101">
        <f>IFERROR(_xlfn.XLOOKUP($A138,'Raw Data'!$G:$G,'Raw Data'!H:H),"")</f>
        <v>8.0208999999999993</v>
      </c>
      <c r="AC138" s="67">
        <f>IFERROR(_xlfn.XLOOKUP($D138,'Modelling New'!$D:$D,'Modelling New'!P:P),"")</f>
        <v>4.2161290322580642</v>
      </c>
      <c r="AD138" s="101">
        <f>IFERROR(_xlfn.XLOOKUP($D138,'Modelling New'!$D:$D,'Modelling New'!$T:$T)*1000,"")</f>
        <v>24273.156786520856</v>
      </c>
      <c r="AE138" s="109">
        <f>IFERROR(_xlfn.XLOOKUP($D138,'Modelling New'!$D:$D,'Modelling New'!O:O),"")</f>
        <v>0.71777654975663252</v>
      </c>
      <c r="AF138" s="108">
        <f>IFERROR(_xlfn.XLOOKUP($D138,'Modelling New'!$D:$D,'Modelling New'!W:W),"")</f>
        <v>0.12609327292095679</v>
      </c>
      <c r="AG138" s="108">
        <f>IFERROR(_xlfn.XLOOKUP($D138,'Modelling New'!$D:$D,'Modelling New'!AE:AE),"")</f>
        <v>0.98040000000000005</v>
      </c>
      <c r="AH138" s="128">
        <f>IFERROR(_xlfn.XLOOKUP($D138,'Modelling New'!$D:$D,'Modelling New'!AF:AF),"")</f>
        <v>0.98</v>
      </c>
      <c r="AN138" s="105"/>
      <c r="AO138" s="108"/>
      <c r="AP138" s="108"/>
      <c r="AQ138" s="108"/>
      <c r="AR138" s="101">
        <f>'Basic Data'!$B$98/1000</f>
        <v>8.0208999999999993</v>
      </c>
      <c r="AT138" s="7">
        <f>IFERROR(_xlfn.XLOOKUP(Table13[[#This Row],[Date]],'Raw Data'!$G:$G,'Raw Data'!$AN:$AN),"")</f>
        <v>0</v>
      </c>
      <c r="AU138" s="7">
        <f>IFERROR(_xlfn.XLOOKUP(Table13[[#This Row],[Month Year]],'Modelling New'!$D:$D,'Modelling New'!$AO:$AO),"")</f>
        <v>8</v>
      </c>
      <c r="AV138" s="7">
        <f>SUMIF('Curtailment Records'!$C:$C,Table13[[#This Row],[Date]],'Curtailment Records'!$R:$R)/1000</f>
        <v>0</v>
      </c>
    </row>
    <row r="139" spans="1:48" x14ac:dyDescent="0.3">
      <c r="A139" s="100">
        <f t="shared" si="11"/>
        <v>45882</v>
      </c>
      <c r="B139" s="101">
        <f>YEAR(Table13[[#This Row],[Date]])+IF(MONTH(Table13[[#This Row],[Date]])&gt;=4,1,0)</f>
        <v>2026</v>
      </c>
      <c r="C139" s="7">
        <f>YEAR(Table13[[#This Row],[Date]])</f>
        <v>2025</v>
      </c>
      <c r="D139" s="102">
        <f>Table13[[#This Row],[Date]]-DAY(Table13[[#This Row],[Date]])+1</f>
        <v>45870</v>
      </c>
      <c r="E139" s="7">
        <f t="shared" si="8"/>
        <v>31</v>
      </c>
      <c r="F139" s="103">
        <f>IFERROR(_xlfn.XLOOKUP($A139,'Raw Data'!$G:$G,'Raw Data'!$AM:$AM),"")</f>
        <v>0</v>
      </c>
      <c r="G139" s="104">
        <f>IFERROR(_xlfn.XLOOKUP($A139,'Raw Data'!$G:$G,'Raw Data'!$AB:$AB),"")</f>
        <v>0</v>
      </c>
      <c r="H139" s="104"/>
      <c r="I139" s="104">
        <f>IFERROR(_xlfn.XLOOKUP($A139,'Raw Data'!$G:$G,'Raw Data'!$AC:$AC),"")</f>
        <v>0</v>
      </c>
      <c r="J139" s="104"/>
      <c r="K139" s="104">
        <f>IFERROR(_xlfn.XLOOKUP($A139,'Raw Data'!$G:$G,'Raw Data'!AD:AD),"")</f>
        <v>0</v>
      </c>
      <c r="L139" s="104">
        <f>IFERROR(_xlfn.XLOOKUP($A139,'Raw Data'!$G:$G,'Raw Data'!AE:AE),"")</f>
        <v>0</v>
      </c>
      <c r="M139" s="104">
        <f>IFERROR(_xlfn.XLOOKUP($A139,'Raw Data'!$G:$G,'Raw Data'!AF:AF),"")</f>
        <v>0</v>
      </c>
      <c r="N139" s="104">
        <f>IFERROR(_xlfn.XLOOKUP($A139,'Raw Data'!$G:$G,'Raw Data'!AG:AG),"")</f>
        <v>0</v>
      </c>
      <c r="O139" s="105" t="str">
        <f>IFERROR(1-SUMIF('Plant BD'!$B:$B,$A139,'Plant BD'!$AM:$AM)/($AA139+SUMIF('Plant BD'!$B:$B,$A139,'Plant BD'!$AM:$AM)),"")</f>
        <v/>
      </c>
      <c r="P139" s="105"/>
      <c r="Q139" s="106"/>
      <c r="R139" s="105" t="str">
        <f>IFERROR(1-SUMIF('Grid BD'!$B:$B,$A139,'Grid BD'!$AE:$AE)/($AA139+SUMIF('Grid BD'!$B:$B,$A139,'Grid BD'!$AE:$AE)),"")</f>
        <v/>
      </c>
      <c r="T139" s="106"/>
      <c r="U139" s="107" t="str">
        <f t="shared" si="9"/>
        <v/>
      </c>
      <c r="V139" s="107"/>
      <c r="W139" s="108">
        <f t="shared" si="10"/>
        <v>0</v>
      </c>
      <c r="X139" s="101">
        <f>IFERROR(_xlfn.XLOOKUP($A139,'Raw Data'!$G:$G,'Raw Data'!AI:AI),"")</f>
        <v>0</v>
      </c>
      <c r="Y139" s="101">
        <f>IFERROR(_xlfn.XLOOKUP($A139,'Raw Data'!$G:$G,'Raw Data'!AJ:AJ),"")</f>
        <v>0</v>
      </c>
      <c r="Z139" s="101">
        <f>IFERROR(_xlfn.XLOOKUP($A139,'Raw Data'!$G:$G,'Raw Data'!AK:AK),"")</f>
        <v>0</v>
      </c>
      <c r="AA139" s="101">
        <f>IFERROR(_xlfn.XLOOKUP($A139,'Raw Data'!$G:$G,'Raw Data'!$AL:$AL)*(1+(_xlfn.XLOOKUP(Table13[[#This Row],[Month Year]],JMR!$A:$A,JMR!$J:$J))),"")</f>
        <v>0</v>
      </c>
      <c r="AB139" s="101">
        <f>IFERROR(_xlfn.XLOOKUP($A139,'Raw Data'!$G:$G,'Raw Data'!H:H),"")</f>
        <v>8.0208999999999993</v>
      </c>
      <c r="AC139" s="67">
        <f>IFERROR(_xlfn.XLOOKUP($D139,'Modelling New'!$D:$D,'Modelling New'!P:P),"")</f>
        <v>4.2161290322580642</v>
      </c>
      <c r="AD139" s="101">
        <f>IFERROR(_xlfn.XLOOKUP($D139,'Modelling New'!$D:$D,'Modelling New'!$T:$T)*1000,"")</f>
        <v>24273.156786520856</v>
      </c>
      <c r="AE139" s="109">
        <f>IFERROR(_xlfn.XLOOKUP($D139,'Modelling New'!$D:$D,'Modelling New'!O:O),"")</f>
        <v>0.71777654975663252</v>
      </c>
      <c r="AF139" s="108">
        <f>IFERROR(_xlfn.XLOOKUP($D139,'Modelling New'!$D:$D,'Modelling New'!W:W),"")</f>
        <v>0.12609327292095679</v>
      </c>
      <c r="AG139" s="108">
        <f>IFERROR(_xlfn.XLOOKUP($D139,'Modelling New'!$D:$D,'Modelling New'!AE:AE),"")</f>
        <v>0.98040000000000005</v>
      </c>
      <c r="AH139" s="128">
        <f>IFERROR(_xlfn.XLOOKUP($D139,'Modelling New'!$D:$D,'Modelling New'!AF:AF),"")</f>
        <v>0.98</v>
      </c>
      <c r="AN139" s="105"/>
      <c r="AO139" s="108"/>
      <c r="AP139" s="108"/>
      <c r="AQ139" s="108"/>
      <c r="AR139" s="101">
        <f>'Basic Data'!$B$98/1000</f>
        <v>8.0208999999999993</v>
      </c>
      <c r="AT139" s="7">
        <f>IFERROR(_xlfn.XLOOKUP(Table13[[#This Row],[Date]],'Raw Data'!$G:$G,'Raw Data'!$AN:$AN),"")</f>
        <v>0</v>
      </c>
      <c r="AU139" s="7">
        <f>IFERROR(_xlfn.XLOOKUP(Table13[[#This Row],[Month Year]],'Modelling New'!$D:$D,'Modelling New'!$AO:$AO),"")</f>
        <v>8</v>
      </c>
      <c r="AV139" s="7">
        <f>SUMIF('Curtailment Records'!$C:$C,Table13[[#This Row],[Date]],'Curtailment Records'!$R:$R)/1000</f>
        <v>0</v>
      </c>
    </row>
    <row r="140" spans="1:48" x14ac:dyDescent="0.3">
      <c r="A140" s="100">
        <f t="shared" si="11"/>
        <v>45883</v>
      </c>
      <c r="B140" s="101">
        <f>YEAR(Table13[[#This Row],[Date]])+IF(MONTH(Table13[[#This Row],[Date]])&gt;=4,1,0)</f>
        <v>2026</v>
      </c>
      <c r="C140" s="7">
        <f>YEAR(Table13[[#This Row],[Date]])</f>
        <v>2025</v>
      </c>
      <c r="D140" s="102">
        <f>Table13[[#This Row],[Date]]-DAY(Table13[[#This Row],[Date]])+1</f>
        <v>45870</v>
      </c>
      <c r="E140" s="7">
        <f t="shared" si="8"/>
        <v>31</v>
      </c>
      <c r="F140" s="103">
        <f>IFERROR(_xlfn.XLOOKUP($A140,'Raw Data'!$G:$G,'Raw Data'!$AM:$AM),"")</f>
        <v>0</v>
      </c>
      <c r="G140" s="104">
        <f>IFERROR(_xlfn.XLOOKUP($A140,'Raw Data'!$G:$G,'Raw Data'!$AB:$AB),"")</f>
        <v>0</v>
      </c>
      <c r="H140" s="104"/>
      <c r="I140" s="104">
        <f>IFERROR(_xlfn.XLOOKUP($A140,'Raw Data'!$G:$G,'Raw Data'!$AC:$AC),"")</f>
        <v>0</v>
      </c>
      <c r="J140" s="104"/>
      <c r="K140" s="104">
        <f>IFERROR(_xlfn.XLOOKUP($A140,'Raw Data'!$G:$G,'Raw Data'!AD:AD),"")</f>
        <v>0</v>
      </c>
      <c r="L140" s="104">
        <f>IFERROR(_xlfn.XLOOKUP($A140,'Raw Data'!$G:$G,'Raw Data'!AE:AE),"")</f>
        <v>0</v>
      </c>
      <c r="M140" s="104">
        <f>IFERROR(_xlfn.XLOOKUP($A140,'Raw Data'!$G:$G,'Raw Data'!AF:AF),"")</f>
        <v>0</v>
      </c>
      <c r="N140" s="104">
        <f>IFERROR(_xlfn.XLOOKUP($A140,'Raw Data'!$G:$G,'Raw Data'!AG:AG),"")</f>
        <v>0</v>
      </c>
      <c r="O140" s="105" t="str">
        <f>IFERROR(1-SUMIF('Plant BD'!$B:$B,$A140,'Plant BD'!$AM:$AM)/($AA140+SUMIF('Plant BD'!$B:$B,$A140,'Plant BD'!$AM:$AM)),"")</f>
        <v/>
      </c>
      <c r="P140" s="105"/>
      <c r="Q140" s="106"/>
      <c r="R140" s="105" t="str">
        <f>IFERROR(1-SUMIF('Grid BD'!$B:$B,$A140,'Grid BD'!$AE:$AE)/($AA140+SUMIF('Grid BD'!$B:$B,$A140,'Grid BD'!$AE:$AE)),"")</f>
        <v/>
      </c>
      <c r="T140" s="106"/>
      <c r="U140" s="107" t="str">
        <f t="shared" si="9"/>
        <v/>
      </c>
      <c r="V140" s="107"/>
      <c r="W140" s="108">
        <f t="shared" si="10"/>
        <v>0</v>
      </c>
      <c r="X140" s="101">
        <f>IFERROR(_xlfn.XLOOKUP($A140,'Raw Data'!$G:$G,'Raw Data'!AI:AI),"")</f>
        <v>0</v>
      </c>
      <c r="Y140" s="101">
        <f>IFERROR(_xlfn.XLOOKUP($A140,'Raw Data'!$G:$G,'Raw Data'!AJ:AJ),"")</f>
        <v>0</v>
      </c>
      <c r="Z140" s="101">
        <f>IFERROR(_xlfn.XLOOKUP($A140,'Raw Data'!$G:$G,'Raw Data'!AK:AK),"")</f>
        <v>0</v>
      </c>
      <c r="AA140" s="101">
        <f>IFERROR(_xlfn.XLOOKUP($A140,'Raw Data'!$G:$G,'Raw Data'!$AL:$AL)*(1+(_xlfn.XLOOKUP(Table13[[#This Row],[Month Year]],JMR!$A:$A,JMR!$J:$J))),"")</f>
        <v>0</v>
      </c>
      <c r="AB140" s="101">
        <f>IFERROR(_xlfn.XLOOKUP($A140,'Raw Data'!$G:$G,'Raw Data'!H:H),"")</f>
        <v>8.0208999999999993</v>
      </c>
      <c r="AC140" s="67">
        <f>IFERROR(_xlfn.XLOOKUP($D140,'Modelling New'!$D:$D,'Modelling New'!P:P),"")</f>
        <v>4.2161290322580642</v>
      </c>
      <c r="AD140" s="101">
        <f>IFERROR(_xlfn.XLOOKUP($D140,'Modelling New'!$D:$D,'Modelling New'!$T:$T)*1000,"")</f>
        <v>24273.156786520856</v>
      </c>
      <c r="AE140" s="109">
        <f>IFERROR(_xlfn.XLOOKUP($D140,'Modelling New'!$D:$D,'Modelling New'!O:O),"")</f>
        <v>0.71777654975663252</v>
      </c>
      <c r="AF140" s="108">
        <f>IFERROR(_xlfn.XLOOKUP($D140,'Modelling New'!$D:$D,'Modelling New'!W:W),"")</f>
        <v>0.12609327292095679</v>
      </c>
      <c r="AG140" s="108">
        <f>IFERROR(_xlfn.XLOOKUP($D140,'Modelling New'!$D:$D,'Modelling New'!AE:AE),"")</f>
        <v>0.98040000000000005</v>
      </c>
      <c r="AH140" s="128">
        <f>IFERROR(_xlfn.XLOOKUP($D140,'Modelling New'!$D:$D,'Modelling New'!AF:AF),"")</f>
        <v>0.98</v>
      </c>
      <c r="AN140" s="105"/>
      <c r="AO140" s="108"/>
      <c r="AP140" s="108"/>
      <c r="AQ140" s="108"/>
      <c r="AR140" s="101">
        <f>'Basic Data'!$B$98/1000</f>
        <v>8.0208999999999993</v>
      </c>
      <c r="AT140" s="7">
        <f>IFERROR(_xlfn.XLOOKUP(Table13[[#This Row],[Date]],'Raw Data'!$G:$G,'Raw Data'!$AN:$AN),"")</f>
        <v>0</v>
      </c>
      <c r="AU140" s="7">
        <f>IFERROR(_xlfn.XLOOKUP(Table13[[#This Row],[Month Year]],'Modelling New'!$D:$D,'Modelling New'!$AO:$AO),"")</f>
        <v>8</v>
      </c>
      <c r="AV140" s="7">
        <f>SUMIF('Curtailment Records'!$C:$C,Table13[[#This Row],[Date]],'Curtailment Records'!$R:$R)/1000</f>
        <v>0</v>
      </c>
    </row>
    <row r="141" spans="1:48" x14ac:dyDescent="0.3">
      <c r="A141" s="100">
        <f t="shared" si="11"/>
        <v>45884</v>
      </c>
      <c r="B141" s="101">
        <f>YEAR(Table13[[#This Row],[Date]])+IF(MONTH(Table13[[#This Row],[Date]])&gt;=4,1,0)</f>
        <v>2026</v>
      </c>
      <c r="C141" s="7">
        <f>YEAR(Table13[[#This Row],[Date]])</f>
        <v>2025</v>
      </c>
      <c r="D141" s="102">
        <f>Table13[[#This Row],[Date]]-DAY(Table13[[#This Row],[Date]])+1</f>
        <v>45870</v>
      </c>
      <c r="E141" s="7">
        <f t="shared" si="8"/>
        <v>31</v>
      </c>
      <c r="F141" s="103">
        <f>IFERROR(_xlfn.XLOOKUP($A141,'Raw Data'!$G:$G,'Raw Data'!$AM:$AM),"")</f>
        <v>0</v>
      </c>
      <c r="G141" s="104">
        <f>IFERROR(_xlfn.XLOOKUP($A141,'Raw Data'!$G:$G,'Raw Data'!$AB:$AB),"")</f>
        <v>0</v>
      </c>
      <c r="H141" s="104"/>
      <c r="I141" s="104">
        <f>IFERROR(_xlfn.XLOOKUP($A141,'Raw Data'!$G:$G,'Raw Data'!$AC:$AC),"")</f>
        <v>0</v>
      </c>
      <c r="J141" s="104"/>
      <c r="K141" s="104">
        <f>IFERROR(_xlfn.XLOOKUP($A141,'Raw Data'!$G:$G,'Raw Data'!AD:AD),"")</f>
        <v>0</v>
      </c>
      <c r="L141" s="104">
        <f>IFERROR(_xlfn.XLOOKUP($A141,'Raw Data'!$G:$G,'Raw Data'!AE:AE),"")</f>
        <v>0</v>
      </c>
      <c r="M141" s="104">
        <f>IFERROR(_xlfn.XLOOKUP($A141,'Raw Data'!$G:$G,'Raw Data'!AF:AF),"")</f>
        <v>0</v>
      </c>
      <c r="N141" s="104">
        <f>IFERROR(_xlfn.XLOOKUP($A141,'Raw Data'!$G:$G,'Raw Data'!AG:AG),"")</f>
        <v>0</v>
      </c>
      <c r="O141" s="105" t="str">
        <f>IFERROR(1-SUMIF('Plant BD'!$B:$B,$A141,'Plant BD'!$AM:$AM)/($AA141+SUMIF('Plant BD'!$B:$B,$A141,'Plant BD'!$AM:$AM)),"")</f>
        <v/>
      </c>
      <c r="P141" s="105"/>
      <c r="Q141" s="106"/>
      <c r="R141" s="105" t="str">
        <f>IFERROR(1-SUMIF('Grid BD'!$B:$B,$A141,'Grid BD'!$AE:$AE)/($AA141+SUMIF('Grid BD'!$B:$B,$A141,'Grid BD'!$AE:$AE)),"")</f>
        <v/>
      </c>
      <c r="T141" s="106"/>
      <c r="U141" s="107" t="str">
        <f t="shared" si="9"/>
        <v/>
      </c>
      <c r="V141" s="107"/>
      <c r="W141" s="108">
        <f t="shared" si="10"/>
        <v>0</v>
      </c>
      <c r="X141" s="101">
        <f>IFERROR(_xlfn.XLOOKUP($A141,'Raw Data'!$G:$G,'Raw Data'!AI:AI),"")</f>
        <v>0</v>
      </c>
      <c r="Y141" s="101">
        <f>IFERROR(_xlfn.XLOOKUP($A141,'Raw Data'!$G:$G,'Raw Data'!AJ:AJ),"")</f>
        <v>0</v>
      </c>
      <c r="Z141" s="101">
        <f>IFERROR(_xlfn.XLOOKUP($A141,'Raw Data'!$G:$G,'Raw Data'!AK:AK),"")</f>
        <v>0</v>
      </c>
      <c r="AA141" s="101">
        <f>IFERROR(_xlfn.XLOOKUP($A141,'Raw Data'!$G:$G,'Raw Data'!$AL:$AL)*(1+(_xlfn.XLOOKUP(Table13[[#This Row],[Month Year]],JMR!$A:$A,JMR!$J:$J))),"")</f>
        <v>0</v>
      </c>
      <c r="AB141" s="101">
        <f>IFERROR(_xlfn.XLOOKUP($A141,'Raw Data'!$G:$G,'Raw Data'!H:H),"")</f>
        <v>8.0208999999999993</v>
      </c>
      <c r="AC141" s="67">
        <f>IFERROR(_xlfn.XLOOKUP($D141,'Modelling New'!$D:$D,'Modelling New'!P:P),"")</f>
        <v>4.2161290322580642</v>
      </c>
      <c r="AD141" s="101">
        <f>IFERROR(_xlfn.XLOOKUP($D141,'Modelling New'!$D:$D,'Modelling New'!$T:$T)*1000,"")</f>
        <v>24273.156786520856</v>
      </c>
      <c r="AE141" s="109">
        <f>IFERROR(_xlfn.XLOOKUP($D141,'Modelling New'!$D:$D,'Modelling New'!O:O),"")</f>
        <v>0.71777654975663252</v>
      </c>
      <c r="AF141" s="108">
        <f>IFERROR(_xlfn.XLOOKUP($D141,'Modelling New'!$D:$D,'Modelling New'!W:W),"")</f>
        <v>0.12609327292095679</v>
      </c>
      <c r="AG141" s="108">
        <f>IFERROR(_xlfn.XLOOKUP($D141,'Modelling New'!$D:$D,'Modelling New'!AE:AE),"")</f>
        <v>0.98040000000000005</v>
      </c>
      <c r="AH141" s="128">
        <f>IFERROR(_xlfn.XLOOKUP($D141,'Modelling New'!$D:$D,'Modelling New'!AF:AF),"")</f>
        <v>0.98</v>
      </c>
      <c r="AN141" s="105"/>
      <c r="AO141" s="108"/>
      <c r="AP141" s="108"/>
      <c r="AQ141" s="108"/>
      <c r="AR141" s="101">
        <f>'Basic Data'!$B$98/1000</f>
        <v>8.0208999999999993</v>
      </c>
      <c r="AT141" s="7">
        <f>IFERROR(_xlfn.XLOOKUP(Table13[[#This Row],[Date]],'Raw Data'!$G:$G,'Raw Data'!$AN:$AN),"")</f>
        <v>0</v>
      </c>
      <c r="AU141" s="7">
        <f>IFERROR(_xlfn.XLOOKUP(Table13[[#This Row],[Month Year]],'Modelling New'!$D:$D,'Modelling New'!$AO:$AO),"")</f>
        <v>8</v>
      </c>
      <c r="AV141" s="7">
        <f>SUMIF('Curtailment Records'!$C:$C,Table13[[#This Row],[Date]],'Curtailment Records'!$R:$R)/1000</f>
        <v>0</v>
      </c>
    </row>
    <row r="142" spans="1:48" x14ac:dyDescent="0.3">
      <c r="A142" s="100">
        <f t="shared" si="11"/>
        <v>45885</v>
      </c>
      <c r="B142" s="101">
        <f>YEAR(Table13[[#This Row],[Date]])+IF(MONTH(Table13[[#This Row],[Date]])&gt;=4,1,0)</f>
        <v>2026</v>
      </c>
      <c r="C142" s="7">
        <f>YEAR(Table13[[#This Row],[Date]])</f>
        <v>2025</v>
      </c>
      <c r="D142" s="102">
        <f>Table13[[#This Row],[Date]]-DAY(Table13[[#This Row],[Date]])+1</f>
        <v>45870</v>
      </c>
      <c r="E142" s="7">
        <f t="shared" si="8"/>
        <v>31</v>
      </c>
      <c r="F142" s="103">
        <f>IFERROR(_xlfn.XLOOKUP($A142,'Raw Data'!$G:$G,'Raw Data'!$AM:$AM),"")</f>
        <v>0</v>
      </c>
      <c r="G142" s="104">
        <f>IFERROR(_xlfn.XLOOKUP($A142,'Raw Data'!$G:$G,'Raw Data'!$AB:$AB),"")</f>
        <v>0</v>
      </c>
      <c r="H142" s="104"/>
      <c r="I142" s="104">
        <f>IFERROR(_xlfn.XLOOKUP($A142,'Raw Data'!$G:$G,'Raw Data'!$AC:$AC),"")</f>
        <v>0</v>
      </c>
      <c r="J142" s="104"/>
      <c r="K142" s="104">
        <f>IFERROR(_xlfn.XLOOKUP($A142,'Raw Data'!$G:$G,'Raw Data'!AD:AD),"")</f>
        <v>0</v>
      </c>
      <c r="L142" s="104">
        <f>IFERROR(_xlfn.XLOOKUP($A142,'Raw Data'!$G:$G,'Raw Data'!AE:AE),"")</f>
        <v>0</v>
      </c>
      <c r="M142" s="104">
        <f>IFERROR(_xlfn.XLOOKUP($A142,'Raw Data'!$G:$G,'Raw Data'!AF:AF),"")</f>
        <v>0</v>
      </c>
      <c r="N142" s="104">
        <f>IFERROR(_xlfn.XLOOKUP($A142,'Raw Data'!$G:$G,'Raw Data'!AG:AG),"")</f>
        <v>0</v>
      </c>
      <c r="O142" s="105" t="str">
        <f>IFERROR(1-SUMIF('Plant BD'!$B:$B,$A142,'Plant BD'!$AM:$AM)/($AA142+SUMIF('Plant BD'!$B:$B,$A142,'Plant BD'!$AM:$AM)),"")</f>
        <v/>
      </c>
      <c r="P142" s="105"/>
      <c r="Q142" s="106"/>
      <c r="R142" s="105" t="str">
        <f>IFERROR(1-SUMIF('Grid BD'!$B:$B,$A142,'Grid BD'!$AE:$AE)/($AA142+SUMIF('Grid BD'!$B:$B,$A142,'Grid BD'!$AE:$AE)),"")</f>
        <v/>
      </c>
      <c r="T142" s="106"/>
      <c r="U142" s="107" t="str">
        <f t="shared" si="9"/>
        <v/>
      </c>
      <c r="V142" s="107"/>
      <c r="W142" s="108">
        <f t="shared" si="10"/>
        <v>0</v>
      </c>
      <c r="X142" s="101">
        <f>IFERROR(_xlfn.XLOOKUP($A142,'Raw Data'!$G:$G,'Raw Data'!AI:AI),"")</f>
        <v>0</v>
      </c>
      <c r="Y142" s="101">
        <f>IFERROR(_xlfn.XLOOKUP($A142,'Raw Data'!$G:$G,'Raw Data'!AJ:AJ),"")</f>
        <v>0</v>
      </c>
      <c r="Z142" s="101">
        <f>IFERROR(_xlfn.XLOOKUP($A142,'Raw Data'!$G:$G,'Raw Data'!AK:AK),"")</f>
        <v>0</v>
      </c>
      <c r="AA142" s="101">
        <f>IFERROR(_xlfn.XLOOKUP($A142,'Raw Data'!$G:$G,'Raw Data'!$AL:$AL)*(1+(_xlfn.XLOOKUP(Table13[[#This Row],[Month Year]],JMR!$A:$A,JMR!$J:$J))),"")</f>
        <v>0</v>
      </c>
      <c r="AB142" s="101">
        <f>IFERROR(_xlfn.XLOOKUP($A142,'Raw Data'!$G:$G,'Raw Data'!H:H),"")</f>
        <v>8.0208999999999993</v>
      </c>
      <c r="AC142" s="67">
        <f>IFERROR(_xlfn.XLOOKUP($D142,'Modelling New'!$D:$D,'Modelling New'!P:P),"")</f>
        <v>4.2161290322580642</v>
      </c>
      <c r="AD142" s="101">
        <f>IFERROR(_xlfn.XLOOKUP($D142,'Modelling New'!$D:$D,'Modelling New'!$T:$T)*1000,"")</f>
        <v>24273.156786520856</v>
      </c>
      <c r="AE142" s="109">
        <f>IFERROR(_xlfn.XLOOKUP($D142,'Modelling New'!$D:$D,'Modelling New'!O:O),"")</f>
        <v>0.71777654975663252</v>
      </c>
      <c r="AF142" s="108">
        <f>IFERROR(_xlfn.XLOOKUP($D142,'Modelling New'!$D:$D,'Modelling New'!W:W),"")</f>
        <v>0.12609327292095679</v>
      </c>
      <c r="AG142" s="108">
        <f>IFERROR(_xlfn.XLOOKUP($D142,'Modelling New'!$D:$D,'Modelling New'!AE:AE),"")</f>
        <v>0.98040000000000005</v>
      </c>
      <c r="AH142" s="128">
        <f>IFERROR(_xlfn.XLOOKUP($D142,'Modelling New'!$D:$D,'Modelling New'!AF:AF),"")</f>
        <v>0.98</v>
      </c>
      <c r="AN142" s="105"/>
      <c r="AO142" s="108"/>
      <c r="AP142" s="108"/>
      <c r="AQ142" s="108"/>
      <c r="AR142" s="101">
        <f>'Basic Data'!$B$98/1000</f>
        <v>8.0208999999999993</v>
      </c>
      <c r="AT142" s="7">
        <f>IFERROR(_xlfn.XLOOKUP(Table13[[#This Row],[Date]],'Raw Data'!$G:$G,'Raw Data'!$AN:$AN),"")</f>
        <v>0</v>
      </c>
      <c r="AU142" s="7">
        <f>IFERROR(_xlfn.XLOOKUP(Table13[[#This Row],[Month Year]],'Modelling New'!$D:$D,'Modelling New'!$AO:$AO),"")</f>
        <v>8</v>
      </c>
      <c r="AV142" s="7">
        <f>SUMIF('Curtailment Records'!$C:$C,Table13[[#This Row],[Date]],'Curtailment Records'!$R:$R)/1000</f>
        <v>0</v>
      </c>
    </row>
    <row r="143" spans="1:48" x14ac:dyDescent="0.3">
      <c r="A143" s="100">
        <f t="shared" si="11"/>
        <v>45886</v>
      </c>
      <c r="B143" s="101">
        <f>YEAR(Table13[[#This Row],[Date]])+IF(MONTH(Table13[[#This Row],[Date]])&gt;=4,1,0)</f>
        <v>2026</v>
      </c>
      <c r="C143" s="7">
        <f>YEAR(Table13[[#This Row],[Date]])</f>
        <v>2025</v>
      </c>
      <c r="D143" s="102">
        <f>Table13[[#This Row],[Date]]-DAY(Table13[[#This Row],[Date]])+1</f>
        <v>45870</v>
      </c>
      <c r="E143" s="7">
        <f t="shared" si="8"/>
        <v>31</v>
      </c>
      <c r="F143" s="103">
        <f>IFERROR(_xlfn.XLOOKUP($A143,'Raw Data'!$G:$G,'Raw Data'!$AM:$AM),"")</f>
        <v>0</v>
      </c>
      <c r="G143" s="104">
        <f>IFERROR(_xlfn.XLOOKUP($A143,'Raw Data'!$G:$G,'Raw Data'!$AB:$AB),"")</f>
        <v>0</v>
      </c>
      <c r="H143" s="104"/>
      <c r="I143" s="104">
        <f>IFERROR(_xlfn.XLOOKUP($A143,'Raw Data'!$G:$G,'Raw Data'!$AC:$AC),"")</f>
        <v>0</v>
      </c>
      <c r="J143" s="104"/>
      <c r="K143" s="104">
        <f>IFERROR(_xlfn.XLOOKUP($A143,'Raw Data'!$G:$G,'Raw Data'!AD:AD),"")</f>
        <v>0</v>
      </c>
      <c r="L143" s="104">
        <f>IFERROR(_xlfn.XLOOKUP($A143,'Raw Data'!$G:$G,'Raw Data'!AE:AE),"")</f>
        <v>0</v>
      </c>
      <c r="M143" s="104">
        <f>IFERROR(_xlfn.XLOOKUP($A143,'Raw Data'!$G:$G,'Raw Data'!AF:AF),"")</f>
        <v>0</v>
      </c>
      <c r="N143" s="104">
        <f>IFERROR(_xlfn.XLOOKUP($A143,'Raw Data'!$G:$G,'Raw Data'!AG:AG),"")</f>
        <v>0</v>
      </c>
      <c r="O143" s="105" t="str">
        <f>IFERROR(1-SUMIF('Plant BD'!$B:$B,$A143,'Plant BD'!$AM:$AM)/($AA143+SUMIF('Plant BD'!$B:$B,$A143,'Plant BD'!$AM:$AM)),"")</f>
        <v/>
      </c>
      <c r="P143" s="105"/>
      <c r="Q143" s="106"/>
      <c r="R143" s="105" t="str">
        <f>IFERROR(1-SUMIF('Grid BD'!$B:$B,$A143,'Grid BD'!$AE:$AE)/($AA143+SUMIF('Grid BD'!$B:$B,$A143,'Grid BD'!$AE:$AE)),"")</f>
        <v/>
      </c>
      <c r="T143" s="106"/>
      <c r="U143" s="107" t="str">
        <f t="shared" si="9"/>
        <v/>
      </c>
      <c r="V143" s="107"/>
      <c r="W143" s="108">
        <f t="shared" si="10"/>
        <v>0</v>
      </c>
      <c r="X143" s="101">
        <f>IFERROR(_xlfn.XLOOKUP($A143,'Raw Data'!$G:$G,'Raw Data'!AI:AI),"")</f>
        <v>0</v>
      </c>
      <c r="Y143" s="101">
        <f>IFERROR(_xlfn.XLOOKUP($A143,'Raw Data'!$G:$G,'Raw Data'!AJ:AJ),"")</f>
        <v>0</v>
      </c>
      <c r="Z143" s="101">
        <f>IFERROR(_xlfn.XLOOKUP($A143,'Raw Data'!$G:$G,'Raw Data'!AK:AK),"")</f>
        <v>0</v>
      </c>
      <c r="AA143" s="101">
        <f>IFERROR(_xlfn.XLOOKUP($A143,'Raw Data'!$G:$G,'Raw Data'!$AL:$AL)*(1+(_xlfn.XLOOKUP(Table13[[#This Row],[Month Year]],JMR!$A:$A,JMR!$J:$J))),"")</f>
        <v>0</v>
      </c>
      <c r="AB143" s="101">
        <f>IFERROR(_xlfn.XLOOKUP($A143,'Raw Data'!$G:$G,'Raw Data'!H:H),"")</f>
        <v>8.0208999999999993</v>
      </c>
      <c r="AC143" s="67">
        <f>IFERROR(_xlfn.XLOOKUP($D143,'Modelling New'!$D:$D,'Modelling New'!P:P),"")</f>
        <v>4.2161290322580642</v>
      </c>
      <c r="AD143" s="101">
        <f>IFERROR(_xlfn.XLOOKUP($D143,'Modelling New'!$D:$D,'Modelling New'!$T:$T)*1000,"")</f>
        <v>24273.156786520856</v>
      </c>
      <c r="AE143" s="109">
        <f>IFERROR(_xlfn.XLOOKUP($D143,'Modelling New'!$D:$D,'Modelling New'!O:O),"")</f>
        <v>0.71777654975663252</v>
      </c>
      <c r="AF143" s="108">
        <f>IFERROR(_xlfn.XLOOKUP($D143,'Modelling New'!$D:$D,'Modelling New'!W:W),"")</f>
        <v>0.12609327292095679</v>
      </c>
      <c r="AG143" s="108">
        <f>IFERROR(_xlfn.XLOOKUP($D143,'Modelling New'!$D:$D,'Modelling New'!AE:AE),"")</f>
        <v>0.98040000000000005</v>
      </c>
      <c r="AH143" s="128">
        <f>IFERROR(_xlfn.XLOOKUP($D143,'Modelling New'!$D:$D,'Modelling New'!AF:AF),"")</f>
        <v>0.98</v>
      </c>
      <c r="AN143" s="105"/>
      <c r="AO143" s="108"/>
      <c r="AP143" s="108"/>
      <c r="AQ143" s="108"/>
      <c r="AR143" s="101">
        <f>'Basic Data'!$B$98/1000</f>
        <v>8.0208999999999993</v>
      </c>
      <c r="AT143" s="7">
        <f>IFERROR(_xlfn.XLOOKUP(Table13[[#This Row],[Date]],'Raw Data'!$G:$G,'Raw Data'!$AN:$AN),"")</f>
        <v>0</v>
      </c>
      <c r="AU143" s="7">
        <f>IFERROR(_xlfn.XLOOKUP(Table13[[#This Row],[Month Year]],'Modelling New'!$D:$D,'Modelling New'!$AO:$AO),"")</f>
        <v>8</v>
      </c>
      <c r="AV143" s="7">
        <f>SUMIF('Curtailment Records'!$C:$C,Table13[[#This Row],[Date]],'Curtailment Records'!$R:$R)/1000</f>
        <v>0</v>
      </c>
    </row>
    <row r="144" spans="1:48" x14ac:dyDescent="0.3">
      <c r="A144" s="100">
        <f t="shared" si="11"/>
        <v>45887</v>
      </c>
      <c r="B144" s="101">
        <f>YEAR(Table13[[#This Row],[Date]])+IF(MONTH(Table13[[#This Row],[Date]])&gt;=4,1,0)</f>
        <v>2026</v>
      </c>
      <c r="C144" s="7">
        <f>YEAR(Table13[[#This Row],[Date]])</f>
        <v>2025</v>
      </c>
      <c r="D144" s="102">
        <f>Table13[[#This Row],[Date]]-DAY(Table13[[#This Row],[Date]])+1</f>
        <v>45870</v>
      </c>
      <c r="E144" s="7">
        <f t="shared" si="8"/>
        <v>31</v>
      </c>
      <c r="F144" s="103">
        <f>IFERROR(_xlfn.XLOOKUP($A144,'Raw Data'!$G:$G,'Raw Data'!$AM:$AM),"")</f>
        <v>0</v>
      </c>
      <c r="G144" s="104">
        <f>IFERROR(_xlfn.XLOOKUP($A144,'Raw Data'!$G:$G,'Raw Data'!$AB:$AB),"")</f>
        <v>0</v>
      </c>
      <c r="H144" s="104"/>
      <c r="I144" s="104">
        <f>IFERROR(_xlfn.XLOOKUP($A144,'Raw Data'!$G:$G,'Raw Data'!$AC:$AC),"")</f>
        <v>0</v>
      </c>
      <c r="J144" s="104"/>
      <c r="K144" s="104">
        <f>IFERROR(_xlfn.XLOOKUP($A144,'Raw Data'!$G:$G,'Raw Data'!AD:AD),"")</f>
        <v>0</v>
      </c>
      <c r="L144" s="104">
        <f>IFERROR(_xlfn.XLOOKUP($A144,'Raw Data'!$G:$G,'Raw Data'!AE:AE),"")</f>
        <v>0</v>
      </c>
      <c r="M144" s="104">
        <f>IFERROR(_xlfn.XLOOKUP($A144,'Raw Data'!$G:$G,'Raw Data'!AF:AF),"")</f>
        <v>0</v>
      </c>
      <c r="N144" s="104">
        <f>IFERROR(_xlfn.XLOOKUP($A144,'Raw Data'!$G:$G,'Raw Data'!AG:AG),"")</f>
        <v>0</v>
      </c>
      <c r="O144" s="105" t="str">
        <f>IFERROR(1-SUMIF('Plant BD'!$B:$B,$A144,'Plant BD'!$AM:$AM)/($AA144+SUMIF('Plant BD'!$B:$B,$A144,'Plant BD'!$AM:$AM)),"")</f>
        <v/>
      </c>
      <c r="P144" s="105"/>
      <c r="Q144" s="106"/>
      <c r="R144" s="105" t="str">
        <f>IFERROR(1-SUMIF('Grid BD'!$B:$B,$A144,'Grid BD'!$AE:$AE)/($AA144+SUMIF('Grid BD'!$B:$B,$A144,'Grid BD'!$AE:$AE)),"")</f>
        <v/>
      </c>
      <c r="T144" s="106"/>
      <c r="U144" s="107" t="str">
        <f t="shared" si="9"/>
        <v/>
      </c>
      <c r="V144" s="107"/>
      <c r="W144" s="108">
        <f t="shared" si="10"/>
        <v>0</v>
      </c>
      <c r="X144" s="101">
        <f>IFERROR(_xlfn.XLOOKUP($A144,'Raw Data'!$G:$G,'Raw Data'!AI:AI),"")</f>
        <v>0</v>
      </c>
      <c r="Y144" s="101">
        <f>IFERROR(_xlfn.XLOOKUP($A144,'Raw Data'!$G:$G,'Raw Data'!AJ:AJ),"")</f>
        <v>0</v>
      </c>
      <c r="Z144" s="101">
        <f>IFERROR(_xlfn.XLOOKUP($A144,'Raw Data'!$G:$G,'Raw Data'!AK:AK),"")</f>
        <v>0</v>
      </c>
      <c r="AA144" s="101">
        <f>IFERROR(_xlfn.XLOOKUP($A144,'Raw Data'!$G:$G,'Raw Data'!$AL:$AL)*(1+(_xlfn.XLOOKUP(Table13[[#This Row],[Month Year]],JMR!$A:$A,JMR!$J:$J))),"")</f>
        <v>0</v>
      </c>
      <c r="AB144" s="101">
        <f>IFERROR(_xlfn.XLOOKUP($A144,'Raw Data'!$G:$G,'Raw Data'!H:H),"")</f>
        <v>8.0208999999999993</v>
      </c>
      <c r="AC144" s="67">
        <f>IFERROR(_xlfn.XLOOKUP($D144,'Modelling New'!$D:$D,'Modelling New'!P:P),"")</f>
        <v>4.2161290322580642</v>
      </c>
      <c r="AD144" s="101">
        <f>IFERROR(_xlfn.XLOOKUP($D144,'Modelling New'!$D:$D,'Modelling New'!$T:$T)*1000,"")</f>
        <v>24273.156786520856</v>
      </c>
      <c r="AE144" s="109">
        <f>IFERROR(_xlfn.XLOOKUP($D144,'Modelling New'!$D:$D,'Modelling New'!O:O),"")</f>
        <v>0.71777654975663252</v>
      </c>
      <c r="AF144" s="108">
        <f>IFERROR(_xlfn.XLOOKUP($D144,'Modelling New'!$D:$D,'Modelling New'!W:W),"")</f>
        <v>0.12609327292095679</v>
      </c>
      <c r="AG144" s="108">
        <f>IFERROR(_xlfn.XLOOKUP($D144,'Modelling New'!$D:$D,'Modelling New'!AE:AE),"")</f>
        <v>0.98040000000000005</v>
      </c>
      <c r="AH144" s="128">
        <f>IFERROR(_xlfn.XLOOKUP($D144,'Modelling New'!$D:$D,'Modelling New'!AF:AF),"")</f>
        <v>0.98</v>
      </c>
      <c r="AN144" s="105"/>
      <c r="AO144" s="108"/>
      <c r="AP144" s="108"/>
      <c r="AQ144" s="108"/>
      <c r="AR144" s="101">
        <f>'Basic Data'!$B$98/1000</f>
        <v>8.0208999999999993</v>
      </c>
      <c r="AT144" s="7">
        <f>IFERROR(_xlfn.XLOOKUP(Table13[[#This Row],[Date]],'Raw Data'!$G:$G,'Raw Data'!$AN:$AN),"")</f>
        <v>0</v>
      </c>
      <c r="AU144" s="7">
        <f>IFERROR(_xlfn.XLOOKUP(Table13[[#This Row],[Month Year]],'Modelling New'!$D:$D,'Modelling New'!$AO:$AO),"")</f>
        <v>8</v>
      </c>
      <c r="AV144" s="7">
        <f>SUMIF('Curtailment Records'!$C:$C,Table13[[#This Row],[Date]],'Curtailment Records'!$R:$R)/1000</f>
        <v>0</v>
      </c>
    </row>
    <row r="145" spans="1:48" x14ac:dyDescent="0.3">
      <c r="A145" s="100">
        <f t="shared" si="11"/>
        <v>45888</v>
      </c>
      <c r="B145" s="101">
        <f>YEAR(Table13[[#This Row],[Date]])+IF(MONTH(Table13[[#This Row],[Date]])&gt;=4,1,0)</f>
        <v>2026</v>
      </c>
      <c r="C145" s="7">
        <f>YEAR(Table13[[#This Row],[Date]])</f>
        <v>2025</v>
      </c>
      <c r="D145" s="102">
        <f>Table13[[#This Row],[Date]]-DAY(Table13[[#This Row],[Date]])+1</f>
        <v>45870</v>
      </c>
      <c r="E145" s="7">
        <f t="shared" si="8"/>
        <v>31</v>
      </c>
      <c r="F145" s="103">
        <f>IFERROR(_xlfn.XLOOKUP($A145,'Raw Data'!$G:$G,'Raw Data'!$AM:$AM),"")</f>
        <v>0</v>
      </c>
      <c r="G145" s="104">
        <f>IFERROR(_xlfn.XLOOKUP($A145,'Raw Data'!$G:$G,'Raw Data'!$AB:$AB),"")</f>
        <v>0</v>
      </c>
      <c r="H145" s="104"/>
      <c r="I145" s="104">
        <f>IFERROR(_xlfn.XLOOKUP($A145,'Raw Data'!$G:$G,'Raw Data'!$AC:$AC),"")</f>
        <v>0</v>
      </c>
      <c r="J145" s="104"/>
      <c r="K145" s="104">
        <f>IFERROR(_xlfn.XLOOKUP($A145,'Raw Data'!$G:$G,'Raw Data'!AD:AD),"")</f>
        <v>0</v>
      </c>
      <c r="L145" s="104">
        <f>IFERROR(_xlfn.XLOOKUP($A145,'Raw Data'!$G:$G,'Raw Data'!AE:AE),"")</f>
        <v>0</v>
      </c>
      <c r="M145" s="104">
        <f>IFERROR(_xlfn.XLOOKUP($A145,'Raw Data'!$G:$G,'Raw Data'!AF:AF),"")</f>
        <v>0</v>
      </c>
      <c r="N145" s="104">
        <f>IFERROR(_xlfn.XLOOKUP($A145,'Raw Data'!$G:$G,'Raw Data'!AG:AG),"")</f>
        <v>0</v>
      </c>
      <c r="O145" s="105" t="str">
        <f>IFERROR(1-SUMIF('Plant BD'!$B:$B,$A145,'Plant BD'!$AM:$AM)/($AA145+SUMIF('Plant BD'!$B:$B,$A145,'Plant BD'!$AM:$AM)),"")</f>
        <v/>
      </c>
      <c r="P145" s="105"/>
      <c r="Q145" s="106"/>
      <c r="R145" s="105" t="str">
        <f>IFERROR(1-SUMIF('Grid BD'!$B:$B,$A145,'Grid BD'!$AE:$AE)/($AA145+SUMIF('Grid BD'!$B:$B,$A145,'Grid BD'!$AE:$AE)),"")</f>
        <v/>
      </c>
      <c r="T145" s="106"/>
      <c r="U145" s="107" t="str">
        <f t="shared" si="9"/>
        <v/>
      </c>
      <c r="V145" s="107"/>
      <c r="W145" s="108">
        <f t="shared" si="10"/>
        <v>0</v>
      </c>
      <c r="X145" s="101">
        <f>IFERROR(_xlfn.XLOOKUP($A145,'Raw Data'!$G:$G,'Raw Data'!AI:AI),"")</f>
        <v>0</v>
      </c>
      <c r="Y145" s="101">
        <f>IFERROR(_xlfn.XLOOKUP($A145,'Raw Data'!$G:$G,'Raw Data'!AJ:AJ),"")</f>
        <v>0</v>
      </c>
      <c r="Z145" s="101">
        <f>IFERROR(_xlfn.XLOOKUP($A145,'Raw Data'!$G:$G,'Raw Data'!AK:AK),"")</f>
        <v>0</v>
      </c>
      <c r="AA145" s="101">
        <f>IFERROR(_xlfn.XLOOKUP($A145,'Raw Data'!$G:$G,'Raw Data'!$AL:$AL)*(1+(_xlfn.XLOOKUP(Table13[[#This Row],[Month Year]],JMR!$A:$A,JMR!$J:$J))),"")</f>
        <v>0</v>
      </c>
      <c r="AB145" s="101">
        <f>IFERROR(_xlfn.XLOOKUP($A145,'Raw Data'!$G:$G,'Raw Data'!H:H),"")</f>
        <v>8.0208999999999993</v>
      </c>
      <c r="AC145" s="67">
        <f>IFERROR(_xlfn.XLOOKUP($D145,'Modelling New'!$D:$D,'Modelling New'!P:P),"")</f>
        <v>4.2161290322580642</v>
      </c>
      <c r="AD145" s="101">
        <f>IFERROR(_xlfn.XLOOKUP($D145,'Modelling New'!$D:$D,'Modelling New'!$T:$T)*1000,"")</f>
        <v>24273.156786520856</v>
      </c>
      <c r="AE145" s="109">
        <f>IFERROR(_xlfn.XLOOKUP($D145,'Modelling New'!$D:$D,'Modelling New'!O:O),"")</f>
        <v>0.71777654975663252</v>
      </c>
      <c r="AF145" s="108">
        <f>IFERROR(_xlfn.XLOOKUP($D145,'Modelling New'!$D:$D,'Modelling New'!W:W),"")</f>
        <v>0.12609327292095679</v>
      </c>
      <c r="AG145" s="108">
        <f>IFERROR(_xlfn.XLOOKUP($D145,'Modelling New'!$D:$D,'Modelling New'!AE:AE),"")</f>
        <v>0.98040000000000005</v>
      </c>
      <c r="AH145" s="128">
        <f>IFERROR(_xlfn.XLOOKUP($D145,'Modelling New'!$D:$D,'Modelling New'!AF:AF),"")</f>
        <v>0.98</v>
      </c>
      <c r="AN145" s="105"/>
      <c r="AO145" s="108"/>
      <c r="AP145" s="108"/>
      <c r="AQ145" s="108"/>
      <c r="AR145" s="101">
        <f>'Basic Data'!$B$98/1000</f>
        <v>8.0208999999999993</v>
      </c>
      <c r="AT145" s="7">
        <f>IFERROR(_xlfn.XLOOKUP(Table13[[#This Row],[Date]],'Raw Data'!$G:$G,'Raw Data'!$AN:$AN),"")</f>
        <v>0</v>
      </c>
      <c r="AU145" s="7">
        <f>IFERROR(_xlfn.XLOOKUP(Table13[[#This Row],[Month Year]],'Modelling New'!$D:$D,'Modelling New'!$AO:$AO),"")</f>
        <v>8</v>
      </c>
      <c r="AV145" s="7">
        <f>SUMIF('Curtailment Records'!$C:$C,Table13[[#This Row],[Date]],'Curtailment Records'!$R:$R)/1000</f>
        <v>0</v>
      </c>
    </row>
    <row r="146" spans="1:48" x14ac:dyDescent="0.3">
      <c r="A146" s="100">
        <f t="shared" si="11"/>
        <v>45889</v>
      </c>
      <c r="B146" s="101">
        <f>YEAR(Table13[[#This Row],[Date]])+IF(MONTH(Table13[[#This Row],[Date]])&gt;=4,1,0)</f>
        <v>2026</v>
      </c>
      <c r="C146" s="7">
        <f>YEAR(Table13[[#This Row],[Date]])</f>
        <v>2025</v>
      </c>
      <c r="D146" s="102">
        <f>Table13[[#This Row],[Date]]-DAY(Table13[[#This Row],[Date]])+1</f>
        <v>45870</v>
      </c>
      <c r="E146" s="7">
        <f t="shared" si="8"/>
        <v>31</v>
      </c>
      <c r="F146" s="103">
        <f>IFERROR(_xlfn.XLOOKUP($A146,'Raw Data'!$G:$G,'Raw Data'!$AM:$AM),"")</f>
        <v>0</v>
      </c>
      <c r="G146" s="104">
        <f>IFERROR(_xlfn.XLOOKUP($A146,'Raw Data'!$G:$G,'Raw Data'!$AB:$AB),"")</f>
        <v>0</v>
      </c>
      <c r="H146" s="104"/>
      <c r="I146" s="104">
        <f>IFERROR(_xlfn.XLOOKUP($A146,'Raw Data'!$G:$G,'Raw Data'!$AC:$AC),"")</f>
        <v>0</v>
      </c>
      <c r="J146" s="104"/>
      <c r="K146" s="104">
        <f>IFERROR(_xlfn.XLOOKUP($A146,'Raw Data'!$G:$G,'Raw Data'!AD:AD),"")</f>
        <v>0</v>
      </c>
      <c r="L146" s="104">
        <f>IFERROR(_xlfn.XLOOKUP($A146,'Raw Data'!$G:$G,'Raw Data'!AE:AE),"")</f>
        <v>0</v>
      </c>
      <c r="M146" s="104">
        <f>IFERROR(_xlfn.XLOOKUP($A146,'Raw Data'!$G:$G,'Raw Data'!AF:AF),"")</f>
        <v>0</v>
      </c>
      <c r="N146" s="104">
        <f>IFERROR(_xlfn.XLOOKUP($A146,'Raw Data'!$G:$G,'Raw Data'!AG:AG),"")</f>
        <v>0</v>
      </c>
      <c r="O146" s="105" t="str">
        <f>IFERROR(1-SUMIF('Plant BD'!$B:$B,$A146,'Plant BD'!$AM:$AM)/($AA146+SUMIF('Plant BD'!$B:$B,$A146,'Plant BD'!$AM:$AM)),"")</f>
        <v/>
      </c>
      <c r="P146" s="105"/>
      <c r="Q146" s="106"/>
      <c r="R146" s="105" t="str">
        <f>IFERROR(1-SUMIF('Grid BD'!$B:$B,$A146,'Grid BD'!$AE:$AE)/($AA146+SUMIF('Grid BD'!$B:$B,$A146,'Grid BD'!$AE:$AE)),"")</f>
        <v/>
      </c>
      <c r="T146" s="106"/>
      <c r="U146" s="107" t="str">
        <f t="shared" si="9"/>
        <v/>
      </c>
      <c r="V146" s="107"/>
      <c r="W146" s="108">
        <f t="shared" si="10"/>
        <v>0</v>
      </c>
      <c r="X146" s="101">
        <f>IFERROR(_xlfn.XLOOKUP($A146,'Raw Data'!$G:$G,'Raw Data'!AI:AI),"")</f>
        <v>0</v>
      </c>
      <c r="Y146" s="101">
        <f>IFERROR(_xlfn.XLOOKUP($A146,'Raw Data'!$G:$G,'Raw Data'!AJ:AJ),"")</f>
        <v>0</v>
      </c>
      <c r="Z146" s="101">
        <f>IFERROR(_xlfn.XLOOKUP($A146,'Raw Data'!$G:$G,'Raw Data'!AK:AK),"")</f>
        <v>0</v>
      </c>
      <c r="AA146" s="101">
        <f>IFERROR(_xlfn.XLOOKUP($A146,'Raw Data'!$G:$G,'Raw Data'!$AL:$AL)*(1+(_xlfn.XLOOKUP(Table13[[#This Row],[Month Year]],JMR!$A:$A,JMR!$J:$J))),"")</f>
        <v>0</v>
      </c>
      <c r="AB146" s="101">
        <f>IFERROR(_xlfn.XLOOKUP($A146,'Raw Data'!$G:$G,'Raw Data'!H:H),"")</f>
        <v>8.0208999999999993</v>
      </c>
      <c r="AC146" s="67">
        <f>IFERROR(_xlfn.XLOOKUP($D146,'Modelling New'!$D:$D,'Modelling New'!P:P),"")</f>
        <v>4.2161290322580642</v>
      </c>
      <c r="AD146" s="101">
        <f>IFERROR(_xlfn.XLOOKUP($D146,'Modelling New'!$D:$D,'Modelling New'!$T:$T)*1000,"")</f>
        <v>24273.156786520856</v>
      </c>
      <c r="AE146" s="109">
        <f>IFERROR(_xlfn.XLOOKUP($D146,'Modelling New'!$D:$D,'Modelling New'!O:O),"")</f>
        <v>0.71777654975663252</v>
      </c>
      <c r="AF146" s="108">
        <f>IFERROR(_xlfn.XLOOKUP($D146,'Modelling New'!$D:$D,'Modelling New'!W:W),"")</f>
        <v>0.12609327292095679</v>
      </c>
      <c r="AG146" s="108">
        <f>IFERROR(_xlfn.XLOOKUP($D146,'Modelling New'!$D:$D,'Modelling New'!AE:AE),"")</f>
        <v>0.98040000000000005</v>
      </c>
      <c r="AH146" s="128">
        <f>IFERROR(_xlfn.XLOOKUP($D146,'Modelling New'!$D:$D,'Modelling New'!AF:AF),"")</f>
        <v>0.98</v>
      </c>
      <c r="AN146" s="105"/>
      <c r="AO146" s="108"/>
      <c r="AP146" s="108"/>
      <c r="AQ146" s="108"/>
      <c r="AR146" s="101">
        <f>'Basic Data'!$B$98/1000</f>
        <v>8.0208999999999993</v>
      </c>
      <c r="AT146" s="7">
        <f>IFERROR(_xlfn.XLOOKUP(Table13[[#This Row],[Date]],'Raw Data'!$G:$G,'Raw Data'!$AN:$AN),"")</f>
        <v>0</v>
      </c>
      <c r="AU146" s="7">
        <f>IFERROR(_xlfn.XLOOKUP(Table13[[#This Row],[Month Year]],'Modelling New'!$D:$D,'Modelling New'!$AO:$AO),"")</f>
        <v>8</v>
      </c>
      <c r="AV146" s="7">
        <f>SUMIF('Curtailment Records'!$C:$C,Table13[[#This Row],[Date]],'Curtailment Records'!$R:$R)/1000</f>
        <v>0</v>
      </c>
    </row>
    <row r="147" spans="1:48" x14ac:dyDescent="0.3">
      <c r="A147" s="100">
        <f t="shared" si="11"/>
        <v>45890</v>
      </c>
      <c r="B147" s="101">
        <f>YEAR(Table13[[#This Row],[Date]])+IF(MONTH(Table13[[#This Row],[Date]])&gt;=4,1,0)</f>
        <v>2026</v>
      </c>
      <c r="C147" s="7">
        <f>YEAR(Table13[[#This Row],[Date]])</f>
        <v>2025</v>
      </c>
      <c r="D147" s="102">
        <f>Table13[[#This Row],[Date]]-DAY(Table13[[#This Row],[Date]])+1</f>
        <v>45870</v>
      </c>
      <c r="E147" s="7">
        <f t="shared" si="8"/>
        <v>31</v>
      </c>
      <c r="F147" s="103">
        <f>IFERROR(_xlfn.XLOOKUP($A147,'Raw Data'!$G:$G,'Raw Data'!$AM:$AM),"")</f>
        <v>0</v>
      </c>
      <c r="G147" s="104">
        <f>IFERROR(_xlfn.XLOOKUP($A147,'Raw Data'!$G:$G,'Raw Data'!$AB:$AB),"")</f>
        <v>0</v>
      </c>
      <c r="H147" s="104"/>
      <c r="I147" s="104">
        <f>IFERROR(_xlfn.XLOOKUP($A147,'Raw Data'!$G:$G,'Raw Data'!$AC:$AC),"")</f>
        <v>0</v>
      </c>
      <c r="J147" s="104"/>
      <c r="K147" s="104">
        <f>IFERROR(_xlfn.XLOOKUP($A147,'Raw Data'!$G:$G,'Raw Data'!AD:AD),"")</f>
        <v>0</v>
      </c>
      <c r="L147" s="104">
        <f>IFERROR(_xlfn.XLOOKUP($A147,'Raw Data'!$G:$G,'Raw Data'!AE:AE),"")</f>
        <v>0</v>
      </c>
      <c r="M147" s="104">
        <f>IFERROR(_xlfn.XLOOKUP($A147,'Raw Data'!$G:$G,'Raw Data'!AF:AF),"")</f>
        <v>0</v>
      </c>
      <c r="N147" s="104">
        <f>IFERROR(_xlfn.XLOOKUP($A147,'Raw Data'!$G:$G,'Raw Data'!AG:AG),"")</f>
        <v>0</v>
      </c>
      <c r="O147" s="105" t="str">
        <f>IFERROR(1-SUMIF('Plant BD'!$B:$B,$A147,'Plant BD'!$AM:$AM)/($AA147+SUMIF('Plant BD'!$B:$B,$A147,'Plant BD'!$AM:$AM)),"")</f>
        <v/>
      </c>
      <c r="P147" s="105"/>
      <c r="Q147" s="106"/>
      <c r="R147" s="105" t="str">
        <f>IFERROR(1-SUMIF('Grid BD'!$B:$B,$A147,'Grid BD'!$AE:$AE)/($AA147+SUMIF('Grid BD'!$B:$B,$A147,'Grid BD'!$AE:$AE)),"")</f>
        <v/>
      </c>
      <c r="T147" s="106"/>
      <c r="U147" s="107" t="str">
        <f t="shared" si="9"/>
        <v/>
      </c>
      <c r="V147" s="107"/>
      <c r="W147" s="108">
        <f t="shared" si="10"/>
        <v>0</v>
      </c>
      <c r="X147" s="101">
        <f>IFERROR(_xlfn.XLOOKUP($A147,'Raw Data'!$G:$G,'Raw Data'!AI:AI),"")</f>
        <v>0</v>
      </c>
      <c r="Y147" s="101">
        <f>IFERROR(_xlfn.XLOOKUP($A147,'Raw Data'!$G:$G,'Raw Data'!AJ:AJ),"")</f>
        <v>0</v>
      </c>
      <c r="Z147" s="101">
        <f>IFERROR(_xlfn.XLOOKUP($A147,'Raw Data'!$G:$G,'Raw Data'!AK:AK),"")</f>
        <v>0</v>
      </c>
      <c r="AA147" s="101">
        <f>IFERROR(_xlfn.XLOOKUP($A147,'Raw Data'!$G:$G,'Raw Data'!$AL:$AL)*(1+(_xlfn.XLOOKUP(Table13[[#This Row],[Month Year]],JMR!$A:$A,JMR!$J:$J))),"")</f>
        <v>0</v>
      </c>
      <c r="AB147" s="101">
        <f>IFERROR(_xlfn.XLOOKUP($A147,'Raw Data'!$G:$G,'Raw Data'!H:H),"")</f>
        <v>8.0208999999999993</v>
      </c>
      <c r="AC147" s="67">
        <f>IFERROR(_xlfn.XLOOKUP($D147,'Modelling New'!$D:$D,'Modelling New'!P:P),"")</f>
        <v>4.2161290322580642</v>
      </c>
      <c r="AD147" s="101">
        <f>IFERROR(_xlfn.XLOOKUP($D147,'Modelling New'!$D:$D,'Modelling New'!$T:$T)*1000,"")</f>
        <v>24273.156786520856</v>
      </c>
      <c r="AE147" s="109">
        <f>IFERROR(_xlfn.XLOOKUP($D147,'Modelling New'!$D:$D,'Modelling New'!O:O),"")</f>
        <v>0.71777654975663252</v>
      </c>
      <c r="AF147" s="108">
        <f>IFERROR(_xlfn.XLOOKUP($D147,'Modelling New'!$D:$D,'Modelling New'!W:W),"")</f>
        <v>0.12609327292095679</v>
      </c>
      <c r="AG147" s="108">
        <f>IFERROR(_xlfn.XLOOKUP($D147,'Modelling New'!$D:$D,'Modelling New'!AE:AE),"")</f>
        <v>0.98040000000000005</v>
      </c>
      <c r="AH147" s="128">
        <f>IFERROR(_xlfn.XLOOKUP($D147,'Modelling New'!$D:$D,'Modelling New'!AF:AF),"")</f>
        <v>0.98</v>
      </c>
      <c r="AN147" s="105"/>
      <c r="AO147" s="108"/>
      <c r="AP147" s="108"/>
      <c r="AQ147" s="108"/>
      <c r="AR147" s="101">
        <f>'Basic Data'!$B$98/1000</f>
        <v>8.0208999999999993</v>
      </c>
      <c r="AT147" s="7">
        <f>IFERROR(_xlfn.XLOOKUP(Table13[[#This Row],[Date]],'Raw Data'!$G:$G,'Raw Data'!$AN:$AN),"")</f>
        <v>0</v>
      </c>
      <c r="AU147" s="7">
        <f>IFERROR(_xlfn.XLOOKUP(Table13[[#This Row],[Month Year]],'Modelling New'!$D:$D,'Modelling New'!$AO:$AO),"")</f>
        <v>8</v>
      </c>
      <c r="AV147" s="7">
        <f>SUMIF('Curtailment Records'!$C:$C,Table13[[#This Row],[Date]],'Curtailment Records'!$R:$R)/1000</f>
        <v>0</v>
      </c>
    </row>
    <row r="148" spans="1:48" x14ac:dyDescent="0.3">
      <c r="A148" s="100">
        <f t="shared" si="11"/>
        <v>45891</v>
      </c>
      <c r="B148" s="101">
        <f>YEAR(Table13[[#This Row],[Date]])+IF(MONTH(Table13[[#This Row],[Date]])&gt;=4,1,0)</f>
        <v>2026</v>
      </c>
      <c r="C148" s="7">
        <f>YEAR(Table13[[#This Row],[Date]])</f>
        <v>2025</v>
      </c>
      <c r="D148" s="102">
        <f>Table13[[#This Row],[Date]]-DAY(Table13[[#This Row],[Date]])+1</f>
        <v>45870</v>
      </c>
      <c r="E148" s="7">
        <f t="shared" si="8"/>
        <v>31</v>
      </c>
      <c r="F148" s="103">
        <f>IFERROR(_xlfn.XLOOKUP($A148,'Raw Data'!$G:$G,'Raw Data'!$AM:$AM),"")</f>
        <v>0</v>
      </c>
      <c r="G148" s="104">
        <f>IFERROR(_xlfn.XLOOKUP($A148,'Raw Data'!$G:$G,'Raw Data'!$AB:$AB),"")</f>
        <v>0</v>
      </c>
      <c r="H148" s="104"/>
      <c r="I148" s="104">
        <f>IFERROR(_xlfn.XLOOKUP($A148,'Raw Data'!$G:$G,'Raw Data'!$AC:$AC),"")</f>
        <v>0</v>
      </c>
      <c r="J148" s="104"/>
      <c r="K148" s="104">
        <f>IFERROR(_xlfn.XLOOKUP($A148,'Raw Data'!$G:$G,'Raw Data'!AD:AD),"")</f>
        <v>0</v>
      </c>
      <c r="L148" s="104">
        <f>IFERROR(_xlfn.XLOOKUP($A148,'Raw Data'!$G:$G,'Raw Data'!AE:AE),"")</f>
        <v>0</v>
      </c>
      <c r="M148" s="104">
        <f>IFERROR(_xlfn.XLOOKUP($A148,'Raw Data'!$G:$G,'Raw Data'!AF:AF),"")</f>
        <v>0</v>
      </c>
      <c r="N148" s="104">
        <f>IFERROR(_xlfn.XLOOKUP($A148,'Raw Data'!$G:$G,'Raw Data'!AG:AG),"")</f>
        <v>0</v>
      </c>
      <c r="O148" s="105" t="str">
        <f>IFERROR(1-SUMIF('Plant BD'!$B:$B,$A148,'Plant BD'!$AM:$AM)/($AA148+SUMIF('Plant BD'!$B:$B,$A148,'Plant BD'!$AM:$AM)),"")</f>
        <v/>
      </c>
      <c r="P148" s="105"/>
      <c r="Q148" s="106"/>
      <c r="R148" s="105" t="str">
        <f>IFERROR(1-SUMIF('Grid BD'!$B:$B,$A148,'Grid BD'!$AE:$AE)/($AA148+SUMIF('Grid BD'!$B:$B,$A148,'Grid BD'!$AE:$AE)),"")</f>
        <v/>
      </c>
      <c r="T148" s="106"/>
      <c r="U148" s="107" t="str">
        <f t="shared" si="9"/>
        <v/>
      </c>
      <c r="V148" s="107"/>
      <c r="W148" s="108">
        <f t="shared" si="10"/>
        <v>0</v>
      </c>
      <c r="X148" s="101">
        <f>IFERROR(_xlfn.XLOOKUP($A148,'Raw Data'!$G:$G,'Raw Data'!AI:AI),"")</f>
        <v>0</v>
      </c>
      <c r="Y148" s="101">
        <f>IFERROR(_xlfn.XLOOKUP($A148,'Raw Data'!$G:$G,'Raw Data'!AJ:AJ),"")</f>
        <v>0</v>
      </c>
      <c r="Z148" s="101">
        <f>IFERROR(_xlfn.XLOOKUP($A148,'Raw Data'!$G:$G,'Raw Data'!AK:AK),"")</f>
        <v>0</v>
      </c>
      <c r="AA148" s="101">
        <f>IFERROR(_xlfn.XLOOKUP($A148,'Raw Data'!$G:$G,'Raw Data'!$AL:$AL)*(1+(_xlfn.XLOOKUP(Table13[[#This Row],[Month Year]],JMR!$A:$A,JMR!$J:$J))),"")</f>
        <v>0</v>
      </c>
      <c r="AB148" s="101">
        <f>IFERROR(_xlfn.XLOOKUP($A148,'Raw Data'!$G:$G,'Raw Data'!H:H),"")</f>
        <v>8.0208999999999993</v>
      </c>
      <c r="AC148" s="67">
        <f>IFERROR(_xlfn.XLOOKUP($D148,'Modelling New'!$D:$D,'Modelling New'!P:P),"")</f>
        <v>4.2161290322580642</v>
      </c>
      <c r="AD148" s="101">
        <f>IFERROR(_xlfn.XLOOKUP($D148,'Modelling New'!$D:$D,'Modelling New'!$T:$T)*1000,"")</f>
        <v>24273.156786520856</v>
      </c>
      <c r="AE148" s="109">
        <f>IFERROR(_xlfn.XLOOKUP($D148,'Modelling New'!$D:$D,'Modelling New'!O:O),"")</f>
        <v>0.71777654975663252</v>
      </c>
      <c r="AF148" s="108">
        <f>IFERROR(_xlfn.XLOOKUP($D148,'Modelling New'!$D:$D,'Modelling New'!W:W),"")</f>
        <v>0.12609327292095679</v>
      </c>
      <c r="AG148" s="108">
        <f>IFERROR(_xlfn.XLOOKUP($D148,'Modelling New'!$D:$D,'Modelling New'!AE:AE),"")</f>
        <v>0.98040000000000005</v>
      </c>
      <c r="AH148" s="128">
        <f>IFERROR(_xlfn.XLOOKUP($D148,'Modelling New'!$D:$D,'Modelling New'!AF:AF),"")</f>
        <v>0.98</v>
      </c>
      <c r="AN148" s="105"/>
      <c r="AO148" s="108"/>
      <c r="AP148" s="108"/>
      <c r="AQ148" s="108"/>
      <c r="AR148" s="101">
        <f>'Basic Data'!$B$98/1000</f>
        <v>8.0208999999999993</v>
      </c>
      <c r="AT148" s="7">
        <f>IFERROR(_xlfn.XLOOKUP(Table13[[#This Row],[Date]],'Raw Data'!$G:$G,'Raw Data'!$AN:$AN),"")</f>
        <v>0</v>
      </c>
      <c r="AU148" s="7">
        <f>IFERROR(_xlfn.XLOOKUP(Table13[[#This Row],[Month Year]],'Modelling New'!$D:$D,'Modelling New'!$AO:$AO),"")</f>
        <v>8</v>
      </c>
      <c r="AV148" s="7">
        <f>SUMIF('Curtailment Records'!$C:$C,Table13[[#This Row],[Date]],'Curtailment Records'!$R:$R)/1000</f>
        <v>0</v>
      </c>
    </row>
    <row r="149" spans="1:48" x14ac:dyDescent="0.3">
      <c r="A149" s="100">
        <f t="shared" si="11"/>
        <v>45892</v>
      </c>
      <c r="B149" s="101">
        <f>YEAR(Table13[[#This Row],[Date]])+IF(MONTH(Table13[[#This Row],[Date]])&gt;=4,1,0)</f>
        <v>2026</v>
      </c>
      <c r="C149" s="7">
        <f>YEAR(Table13[[#This Row],[Date]])</f>
        <v>2025</v>
      </c>
      <c r="D149" s="102">
        <f>Table13[[#This Row],[Date]]-DAY(Table13[[#This Row],[Date]])+1</f>
        <v>45870</v>
      </c>
      <c r="E149" s="7">
        <f t="shared" si="8"/>
        <v>31</v>
      </c>
      <c r="F149" s="103">
        <f>IFERROR(_xlfn.XLOOKUP($A149,'Raw Data'!$G:$G,'Raw Data'!$AM:$AM),"")</f>
        <v>0</v>
      </c>
      <c r="G149" s="104">
        <f>IFERROR(_xlfn.XLOOKUP($A149,'Raw Data'!$G:$G,'Raw Data'!$AB:$AB),"")</f>
        <v>0</v>
      </c>
      <c r="H149" s="104"/>
      <c r="I149" s="104">
        <f>IFERROR(_xlfn.XLOOKUP($A149,'Raw Data'!$G:$G,'Raw Data'!$AC:$AC),"")</f>
        <v>0</v>
      </c>
      <c r="J149" s="104"/>
      <c r="K149" s="104">
        <f>IFERROR(_xlfn.XLOOKUP($A149,'Raw Data'!$G:$G,'Raw Data'!AD:AD),"")</f>
        <v>0</v>
      </c>
      <c r="L149" s="104">
        <f>IFERROR(_xlfn.XLOOKUP($A149,'Raw Data'!$G:$G,'Raw Data'!AE:AE),"")</f>
        <v>0</v>
      </c>
      <c r="M149" s="104">
        <f>IFERROR(_xlfn.XLOOKUP($A149,'Raw Data'!$G:$G,'Raw Data'!AF:AF),"")</f>
        <v>0</v>
      </c>
      <c r="N149" s="104">
        <f>IFERROR(_xlfn.XLOOKUP($A149,'Raw Data'!$G:$G,'Raw Data'!AG:AG),"")</f>
        <v>0</v>
      </c>
      <c r="O149" s="105" t="str">
        <f>IFERROR(1-SUMIF('Plant BD'!$B:$B,$A149,'Plant BD'!$AM:$AM)/($AA149+SUMIF('Plant BD'!$B:$B,$A149,'Plant BD'!$AM:$AM)),"")</f>
        <v/>
      </c>
      <c r="P149" s="105"/>
      <c r="Q149" s="106"/>
      <c r="R149" s="105" t="str">
        <f>IFERROR(1-SUMIF('Grid BD'!$B:$B,$A149,'Grid BD'!$AE:$AE)/($AA149+SUMIF('Grid BD'!$B:$B,$A149,'Grid BD'!$AE:$AE)),"")</f>
        <v/>
      </c>
      <c r="T149" s="106"/>
      <c r="U149" s="107" t="str">
        <f t="shared" si="9"/>
        <v/>
      </c>
      <c r="V149" s="107"/>
      <c r="W149" s="108">
        <f t="shared" si="10"/>
        <v>0</v>
      </c>
      <c r="X149" s="101">
        <f>IFERROR(_xlfn.XLOOKUP($A149,'Raw Data'!$G:$G,'Raw Data'!AI:AI),"")</f>
        <v>0</v>
      </c>
      <c r="Y149" s="101">
        <f>IFERROR(_xlfn.XLOOKUP($A149,'Raw Data'!$G:$G,'Raw Data'!AJ:AJ),"")</f>
        <v>0</v>
      </c>
      <c r="Z149" s="101">
        <f>IFERROR(_xlfn.XLOOKUP($A149,'Raw Data'!$G:$G,'Raw Data'!AK:AK),"")</f>
        <v>0</v>
      </c>
      <c r="AA149" s="101">
        <f>IFERROR(_xlfn.XLOOKUP($A149,'Raw Data'!$G:$G,'Raw Data'!$AL:$AL)*(1+(_xlfn.XLOOKUP(Table13[[#This Row],[Month Year]],JMR!$A:$A,JMR!$J:$J))),"")</f>
        <v>0</v>
      </c>
      <c r="AB149" s="101">
        <f>IFERROR(_xlfn.XLOOKUP($A149,'Raw Data'!$G:$G,'Raw Data'!H:H),"")</f>
        <v>8.0208999999999993</v>
      </c>
      <c r="AC149" s="67">
        <f>IFERROR(_xlfn.XLOOKUP($D149,'Modelling New'!$D:$D,'Modelling New'!P:P),"")</f>
        <v>4.2161290322580642</v>
      </c>
      <c r="AD149" s="101">
        <f>IFERROR(_xlfn.XLOOKUP($D149,'Modelling New'!$D:$D,'Modelling New'!$T:$T)*1000,"")</f>
        <v>24273.156786520856</v>
      </c>
      <c r="AE149" s="109">
        <f>IFERROR(_xlfn.XLOOKUP($D149,'Modelling New'!$D:$D,'Modelling New'!O:O),"")</f>
        <v>0.71777654975663252</v>
      </c>
      <c r="AF149" s="108">
        <f>IFERROR(_xlfn.XLOOKUP($D149,'Modelling New'!$D:$D,'Modelling New'!W:W),"")</f>
        <v>0.12609327292095679</v>
      </c>
      <c r="AG149" s="108">
        <f>IFERROR(_xlfn.XLOOKUP($D149,'Modelling New'!$D:$D,'Modelling New'!AE:AE),"")</f>
        <v>0.98040000000000005</v>
      </c>
      <c r="AH149" s="128">
        <f>IFERROR(_xlfn.XLOOKUP($D149,'Modelling New'!$D:$D,'Modelling New'!AF:AF),"")</f>
        <v>0.98</v>
      </c>
      <c r="AN149" s="105"/>
      <c r="AO149" s="108"/>
      <c r="AP149" s="108"/>
      <c r="AQ149" s="108"/>
      <c r="AR149" s="101">
        <f>'Basic Data'!$B$98/1000</f>
        <v>8.0208999999999993</v>
      </c>
      <c r="AT149" s="7">
        <f>IFERROR(_xlfn.XLOOKUP(Table13[[#This Row],[Date]],'Raw Data'!$G:$G,'Raw Data'!$AN:$AN),"")</f>
        <v>0</v>
      </c>
      <c r="AU149" s="7">
        <f>IFERROR(_xlfn.XLOOKUP(Table13[[#This Row],[Month Year]],'Modelling New'!$D:$D,'Modelling New'!$AO:$AO),"")</f>
        <v>8</v>
      </c>
      <c r="AV149" s="7">
        <f>SUMIF('Curtailment Records'!$C:$C,Table13[[#This Row],[Date]],'Curtailment Records'!$R:$R)/1000</f>
        <v>0</v>
      </c>
    </row>
    <row r="150" spans="1:48" x14ac:dyDescent="0.3">
      <c r="A150" s="100">
        <f t="shared" si="11"/>
        <v>45893</v>
      </c>
      <c r="B150" s="101">
        <f>YEAR(Table13[[#This Row],[Date]])+IF(MONTH(Table13[[#This Row],[Date]])&gt;=4,1,0)</f>
        <v>2026</v>
      </c>
      <c r="C150" s="7">
        <f>YEAR(Table13[[#This Row],[Date]])</f>
        <v>2025</v>
      </c>
      <c r="D150" s="102">
        <f>Table13[[#This Row],[Date]]-DAY(Table13[[#This Row],[Date]])+1</f>
        <v>45870</v>
      </c>
      <c r="E150" s="7">
        <f t="shared" si="8"/>
        <v>31</v>
      </c>
      <c r="F150" s="103">
        <f>IFERROR(_xlfn.XLOOKUP($A150,'Raw Data'!$G:$G,'Raw Data'!$AM:$AM),"")</f>
        <v>0</v>
      </c>
      <c r="G150" s="104">
        <f>IFERROR(_xlfn.XLOOKUP($A150,'Raw Data'!$G:$G,'Raw Data'!$AB:$AB),"")</f>
        <v>0</v>
      </c>
      <c r="H150" s="104"/>
      <c r="I150" s="104">
        <f>IFERROR(_xlfn.XLOOKUP($A150,'Raw Data'!$G:$G,'Raw Data'!$AC:$AC),"")</f>
        <v>0</v>
      </c>
      <c r="J150" s="104"/>
      <c r="K150" s="104">
        <f>IFERROR(_xlfn.XLOOKUP($A150,'Raw Data'!$G:$G,'Raw Data'!AD:AD),"")</f>
        <v>0</v>
      </c>
      <c r="L150" s="104">
        <f>IFERROR(_xlfn.XLOOKUP($A150,'Raw Data'!$G:$G,'Raw Data'!AE:AE),"")</f>
        <v>0</v>
      </c>
      <c r="M150" s="104">
        <f>IFERROR(_xlfn.XLOOKUP($A150,'Raw Data'!$G:$G,'Raw Data'!AF:AF),"")</f>
        <v>0</v>
      </c>
      <c r="N150" s="104">
        <f>IFERROR(_xlfn.XLOOKUP($A150,'Raw Data'!$G:$G,'Raw Data'!AG:AG),"")</f>
        <v>0</v>
      </c>
      <c r="O150" s="105" t="str">
        <f>IFERROR(1-SUMIF('Plant BD'!$B:$B,$A150,'Plant BD'!$AM:$AM)/($AA150+SUMIF('Plant BD'!$B:$B,$A150,'Plant BD'!$AM:$AM)),"")</f>
        <v/>
      </c>
      <c r="P150" s="105"/>
      <c r="Q150" s="106"/>
      <c r="R150" s="105" t="str">
        <f>IFERROR(1-SUMIF('Grid BD'!$B:$B,$A150,'Grid BD'!$AE:$AE)/($AA150+SUMIF('Grid BD'!$B:$B,$A150,'Grid BD'!$AE:$AE)),"")</f>
        <v/>
      </c>
      <c r="T150" s="106"/>
      <c r="U150" s="107" t="str">
        <f t="shared" si="9"/>
        <v/>
      </c>
      <c r="V150" s="107"/>
      <c r="W150" s="108">
        <f t="shared" si="10"/>
        <v>0</v>
      </c>
      <c r="X150" s="101">
        <f>IFERROR(_xlfn.XLOOKUP($A150,'Raw Data'!$G:$G,'Raw Data'!AI:AI),"")</f>
        <v>0</v>
      </c>
      <c r="Y150" s="101">
        <f>IFERROR(_xlfn.XLOOKUP($A150,'Raw Data'!$G:$G,'Raw Data'!AJ:AJ),"")</f>
        <v>0</v>
      </c>
      <c r="Z150" s="101">
        <f>IFERROR(_xlfn.XLOOKUP($A150,'Raw Data'!$G:$G,'Raw Data'!AK:AK),"")</f>
        <v>0</v>
      </c>
      <c r="AA150" s="101">
        <f>IFERROR(_xlfn.XLOOKUP($A150,'Raw Data'!$G:$G,'Raw Data'!$AL:$AL)*(1+(_xlfn.XLOOKUP(Table13[[#This Row],[Month Year]],JMR!$A:$A,JMR!$J:$J))),"")</f>
        <v>0</v>
      </c>
      <c r="AB150" s="101">
        <f>IFERROR(_xlfn.XLOOKUP($A150,'Raw Data'!$G:$G,'Raw Data'!H:H),"")</f>
        <v>8.0208999999999993</v>
      </c>
      <c r="AC150" s="67">
        <f>IFERROR(_xlfn.XLOOKUP($D150,'Modelling New'!$D:$D,'Modelling New'!P:P),"")</f>
        <v>4.2161290322580642</v>
      </c>
      <c r="AD150" s="101">
        <f>IFERROR(_xlfn.XLOOKUP($D150,'Modelling New'!$D:$D,'Modelling New'!$T:$T)*1000,"")</f>
        <v>24273.156786520856</v>
      </c>
      <c r="AE150" s="109">
        <f>IFERROR(_xlfn.XLOOKUP($D150,'Modelling New'!$D:$D,'Modelling New'!O:O),"")</f>
        <v>0.71777654975663252</v>
      </c>
      <c r="AF150" s="108">
        <f>IFERROR(_xlfn.XLOOKUP($D150,'Modelling New'!$D:$D,'Modelling New'!W:W),"")</f>
        <v>0.12609327292095679</v>
      </c>
      <c r="AG150" s="108">
        <f>IFERROR(_xlfn.XLOOKUP($D150,'Modelling New'!$D:$D,'Modelling New'!AE:AE),"")</f>
        <v>0.98040000000000005</v>
      </c>
      <c r="AH150" s="128">
        <f>IFERROR(_xlfn.XLOOKUP($D150,'Modelling New'!$D:$D,'Modelling New'!AF:AF),"")</f>
        <v>0.98</v>
      </c>
      <c r="AN150" s="105"/>
      <c r="AO150" s="108"/>
      <c r="AP150" s="108"/>
      <c r="AQ150" s="108"/>
      <c r="AR150" s="101">
        <f>'Basic Data'!$B$98/1000</f>
        <v>8.0208999999999993</v>
      </c>
      <c r="AT150" s="7">
        <f>IFERROR(_xlfn.XLOOKUP(Table13[[#This Row],[Date]],'Raw Data'!$G:$G,'Raw Data'!$AN:$AN),"")</f>
        <v>0</v>
      </c>
      <c r="AU150" s="7">
        <f>IFERROR(_xlfn.XLOOKUP(Table13[[#This Row],[Month Year]],'Modelling New'!$D:$D,'Modelling New'!$AO:$AO),"")</f>
        <v>8</v>
      </c>
      <c r="AV150" s="7">
        <f>SUMIF('Curtailment Records'!$C:$C,Table13[[#This Row],[Date]],'Curtailment Records'!$R:$R)/1000</f>
        <v>0</v>
      </c>
    </row>
    <row r="151" spans="1:48" x14ac:dyDescent="0.3">
      <c r="A151" s="100">
        <f t="shared" si="11"/>
        <v>45894</v>
      </c>
      <c r="B151" s="101">
        <f>YEAR(Table13[[#This Row],[Date]])+IF(MONTH(Table13[[#This Row],[Date]])&gt;=4,1,0)</f>
        <v>2026</v>
      </c>
      <c r="C151" s="7">
        <f>YEAR(Table13[[#This Row],[Date]])</f>
        <v>2025</v>
      </c>
      <c r="D151" s="102">
        <f>Table13[[#This Row],[Date]]-DAY(Table13[[#This Row],[Date]])+1</f>
        <v>45870</v>
      </c>
      <c r="E151" s="7">
        <f t="shared" si="8"/>
        <v>31</v>
      </c>
      <c r="F151" s="103">
        <f>IFERROR(_xlfn.XLOOKUP($A151,'Raw Data'!$G:$G,'Raw Data'!$AM:$AM),"")</f>
        <v>0</v>
      </c>
      <c r="G151" s="104">
        <f>IFERROR(_xlfn.XLOOKUP($A151,'Raw Data'!$G:$G,'Raw Data'!$AB:$AB),"")</f>
        <v>0</v>
      </c>
      <c r="H151" s="104"/>
      <c r="I151" s="104">
        <f>IFERROR(_xlfn.XLOOKUP($A151,'Raw Data'!$G:$G,'Raw Data'!$AC:$AC),"")</f>
        <v>0</v>
      </c>
      <c r="J151" s="104"/>
      <c r="K151" s="104">
        <f>IFERROR(_xlfn.XLOOKUP($A151,'Raw Data'!$G:$G,'Raw Data'!AD:AD),"")</f>
        <v>0</v>
      </c>
      <c r="L151" s="104">
        <f>IFERROR(_xlfn.XLOOKUP($A151,'Raw Data'!$G:$G,'Raw Data'!AE:AE),"")</f>
        <v>0</v>
      </c>
      <c r="M151" s="104">
        <f>IFERROR(_xlfn.XLOOKUP($A151,'Raw Data'!$G:$G,'Raw Data'!AF:AF),"")</f>
        <v>0</v>
      </c>
      <c r="N151" s="104">
        <f>IFERROR(_xlfn.XLOOKUP($A151,'Raw Data'!$G:$G,'Raw Data'!AG:AG),"")</f>
        <v>0</v>
      </c>
      <c r="O151" s="105" t="str">
        <f>IFERROR(1-SUMIF('Plant BD'!$B:$B,$A151,'Plant BD'!$AM:$AM)/($AA151+SUMIF('Plant BD'!$B:$B,$A151,'Plant BD'!$AM:$AM)),"")</f>
        <v/>
      </c>
      <c r="P151" s="105"/>
      <c r="Q151" s="106"/>
      <c r="R151" s="105" t="str">
        <f>IFERROR(1-SUMIF('Grid BD'!$B:$B,$A151,'Grid BD'!$AE:$AE)/($AA151+SUMIF('Grid BD'!$B:$B,$A151,'Grid BD'!$AE:$AE)),"")</f>
        <v/>
      </c>
      <c r="T151" s="106"/>
      <c r="U151" s="107" t="str">
        <f t="shared" si="9"/>
        <v/>
      </c>
      <c r="V151" s="107"/>
      <c r="W151" s="108">
        <f t="shared" si="10"/>
        <v>0</v>
      </c>
      <c r="X151" s="101">
        <f>IFERROR(_xlfn.XLOOKUP($A151,'Raw Data'!$G:$G,'Raw Data'!AI:AI),"")</f>
        <v>0</v>
      </c>
      <c r="Y151" s="101">
        <f>IFERROR(_xlfn.XLOOKUP($A151,'Raw Data'!$G:$G,'Raw Data'!AJ:AJ),"")</f>
        <v>0</v>
      </c>
      <c r="Z151" s="101">
        <f>IFERROR(_xlfn.XLOOKUP($A151,'Raw Data'!$G:$G,'Raw Data'!AK:AK),"")</f>
        <v>0</v>
      </c>
      <c r="AA151" s="101">
        <f>IFERROR(_xlfn.XLOOKUP($A151,'Raw Data'!$G:$G,'Raw Data'!$AL:$AL)*(1+(_xlfn.XLOOKUP(Table13[[#This Row],[Month Year]],JMR!$A:$A,JMR!$J:$J))),"")</f>
        <v>0</v>
      </c>
      <c r="AB151" s="101">
        <f>IFERROR(_xlfn.XLOOKUP($A151,'Raw Data'!$G:$G,'Raw Data'!H:H),"")</f>
        <v>8.0208999999999993</v>
      </c>
      <c r="AC151" s="67">
        <f>IFERROR(_xlfn.XLOOKUP($D151,'Modelling New'!$D:$D,'Modelling New'!P:P),"")</f>
        <v>4.2161290322580642</v>
      </c>
      <c r="AD151" s="101">
        <f>IFERROR(_xlfn.XLOOKUP($D151,'Modelling New'!$D:$D,'Modelling New'!$T:$T)*1000,"")</f>
        <v>24273.156786520856</v>
      </c>
      <c r="AE151" s="109">
        <f>IFERROR(_xlfn.XLOOKUP($D151,'Modelling New'!$D:$D,'Modelling New'!O:O),"")</f>
        <v>0.71777654975663252</v>
      </c>
      <c r="AF151" s="108">
        <f>IFERROR(_xlfn.XLOOKUP($D151,'Modelling New'!$D:$D,'Modelling New'!W:W),"")</f>
        <v>0.12609327292095679</v>
      </c>
      <c r="AG151" s="108">
        <f>IFERROR(_xlfn.XLOOKUP($D151,'Modelling New'!$D:$D,'Modelling New'!AE:AE),"")</f>
        <v>0.98040000000000005</v>
      </c>
      <c r="AH151" s="128">
        <f>IFERROR(_xlfn.XLOOKUP($D151,'Modelling New'!$D:$D,'Modelling New'!AF:AF),"")</f>
        <v>0.98</v>
      </c>
      <c r="AN151" s="105"/>
      <c r="AO151" s="108"/>
      <c r="AP151" s="108"/>
      <c r="AQ151" s="108"/>
      <c r="AR151" s="101">
        <f>'Basic Data'!$B$98/1000</f>
        <v>8.0208999999999993</v>
      </c>
      <c r="AT151" s="7">
        <f>IFERROR(_xlfn.XLOOKUP(Table13[[#This Row],[Date]],'Raw Data'!$G:$G,'Raw Data'!$AN:$AN),"")</f>
        <v>0</v>
      </c>
      <c r="AU151" s="7">
        <f>IFERROR(_xlfn.XLOOKUP(Table13[[#This Row],[Month Year]],'Modelling New'!$D:$D,'Modelling New'!$AO:$AO),"")</f>
        <v>8</v>
      </c>
      <c r="AV151" s="7">
        <f>SUMIF('Curtailment Records'!$C:$C,Table13[[#This Row],[Date]],'Curtailment Records'!$R:$R)/1000</f>
        <v>0</v>
      </c>
    </row>
    <row r="152" spans="1:48" x14ac:dyDescent="0.3">
      <c r="A152" s="100">
        <f t="shared" si="11"/>
        <v>45895</v>
      </c>
      <c r="B152" s="101">
        <f>YEAR(Table13[[#This Row],[Date]])+IF(MONTH(Table13[[#This Row],[Date]])&gt;=4,1,0)</f>
        <v>2026</v>
      </c>
      <c r="C152" s="7">
        <f>YEAR(Table13[[#This Row],[Date]])</f>
        <v>2025</v>
      </c>
      <c r="D152" s="102">
        <f>Table13[[#This Row],[Date]]-DAY(Table13[[#This Row],[Date]])+1</f>
        <v>45870</v>
      </c>
      <c r="E152" s="7">
        <f t="shared" si="8"/>
        <v>31</v>
      </c>
      <c r="F152" s="103">
        <f>IFERROR(_xlfn.XLOOKUP($A152,'Raw Data'!$G:$G,'Raw Data'!$AM:$AM),"")</f>
        <v>0</v>
      </c>
      <c r="G152" s="104">
        <f>IFERROR(_xlfn.XLOOKUP($A152,'Raw Data'!$G:$G,'Raw Data'!$AB:$AB),"")</f>
        <v>0</v>
      </c>
      <c r="H152" s="104"/>
      <c r="I152" s="104">
        <f>IFERROR(_xlfn.XLOOKUP($A152,'Raw Data'!$G:$G,'Raw Data'!$AC:$AC),"")</f>
        <v>0</v>
      </c>
      <c r="J152" s="104"/>
      <c r="K152" s="104">
        <f>IFERROR(_xlfn.XLOOKUP($A152,'Raw Data'!$G:$G,'Raw Data'!AD:AD),"")</f>
        <v>0</v>
      </c>
      <c r="L152" s="104">
        <f>IFERROR(_xlfn.XLOOKUP($A152,'Raw Data'!$G:$G,'Raw Data'!AE:AE),"")</f>
        <v>0</v>
      </c>
      <c r="M152" s="104">
        <f>IFERROR(_xlfn.XLOOKUP($A152,'Raw Data'!$G:$G,'Raw Data'!AF:AF),"")</f>
        <v>0</v>
      </c>
      <c r="N152" s="104">
        <f>IFERROR(_xlfn.XLOOKUP($A152,'Raw Data'!$G:$G,'Raw Data'!AG:AG),"")</f>
        <v>0</v>
      </c>
      <c r="O152" s="105" t="str">
        <f>IFERROR(1-SUMIF('Plant BD'!$B:$B,$A152,'Plant BD'!$AM:$AM)/($AA152+SUMIF('Plant BD'!$B:$B,$A152,'Plant BD'!$AM:$AM)),"")</f>
        <v/>
      </c>
      <c r="P152" s="105"/>
      <c r="Q152" s="106"/>
      <c r="R152" s="105" t="str">
        <f>IFERROR(1-SUMIF('Grid BD'!$B:$B,$A152,'Grid BD'!$AE:$AE)/($AA152+SUMIF('Grid BD'!$B:$B,$A152,'Grid BD'!$AE:$AE)),"")</f>
        <v/>
      </c>
      <c r="T152" s="106"/>
      <c r="U152" s="107" t="str">
        <f t="shared" si="9"/>
        <v/>
      </c>
      <c r="V152" s="107"/>
      <c r="W152" s="108">
        <f t="shared" si="10"/>
        <v>0</v>
      </c>
      <c r="X152" s="101">
        <f>IFERROR(_xlfn.XLOOKUP($A152,'Raw Data'!$G:$G,'Raw Data'!AI:AI),"")</f>
        <v>0</v>
      </c>
      <c r="Y152" s="101">
        <f>IFERROR(_xlfn.XLOOKUP($A152,'Raw Data'!$G:$G,'Raw Data'!AJ:AJ),"")</f>
        <v>0</v>
      </c>
      <c r="Z152" s="101">
        <f>IFERROR(_xlfn.XLOOKUP($A152,'Raw Data'!$G:$G,'Raw Data'!AK:AK),"")</f>
        <v>0</v>
      </c>
      <c r="AA152" s="101">
        <f>IFERROR(_xlfn.XLOOKUP($A152,'Raw Data'!$G:$G,'Raw Data'!$AL:$AL)*(1+(_xlfn.XLOOKUP(Table13[[#This Row],[Month Year]],JMR!$A:$A,JMR!$J:$J))),"")</f>
        <v>0</v>
      </c>
      <c r="AB152" s="101">
        <f>IFERROR(_xlfn.XLOOKUP($A152,'Raw Data'!$G:$G,'Raw Data'!H:H),"")</f>
        <v>8.0208999999999993</v>
      </c>
      <c r="AC152" s="67">
        <f>IFERROR(_xlfn.XLOOKUP($D152,'Modelling New'!$D:$D,'Modelling New'!P:P),"")</f>
        <v>4.2161290322580642</v>
      </c>
      <c r="AD152" s="101">
        <f>IFERROR(_xlfn.XLOOKUP($D152,'Modelling New'!$D:$D,'Modelling New'!$T:$T)*1000,"")</f>
        <v>24273.156786520856</v>
      </c>
      <c r="AE152" s="109">
        <f>IFERROR(_xlfn.XLOOKUP($D152,'Modelling New'!$D:$D,'Modelling New'!O:O),"")</f>
        <v>0.71777654975663252</v>
      </c>
      <c r="AF152" s="108">
        <f>IFERROR(_xlfn.XLOOKUP($D152,'Modelling New'!$D:$D,'Modelling New'!W:W),"")</f>
        <v>0.12609327292095679</v>
      </c>
      <c r="AG152" s="108">
        <f>IFERROR(_xlfn.XLOOKUP($D152,'Modelling New'!$D:$D,'Modelling New'!AE:AE),"")</f>
        <v>0.98040000000000005</v>
      </c>
      <c r="AH152" s="128">
        <f>IFERROR(_xlfn.XLOOKUP($D152,'Modelling New'!$D:$D,'Modelling New'!AF:AF),"")</f>
        <v>0.98</v>
      </c>
      <c r="AN152" s="105"/>
      <c r="AO152" s="108"/>
      <c r="AP152" s="108"/>
      <c r="AQ152" s="108"/>
      <c r="AR152" s="101">
        <f>'Basic Data'!$B$98/1000</f>
        <v>8.0208999999999993</v>
      </c>
      <c r="AT152" s="7">
        <f>IFERROR(_xlfn.XLOOKUP(Table13[[#This Row],[Date]],'Raw Data'!$G:$G,'Raw Data'!$AN:$AN),"")</f>
        <v>0</v>
      </c>
      <c r="AU152" s="7">
        <f>IFERROR(_xlfn.XLOOKUP(Table13[[#This Row],[Month Year]],'Modelling New'!$D:$D,'Modelling New'!$AO:$AO),"")</f>
        <v>8</v>
      </c>
      <c r="AV152" s="7">
        <f>SUMIF('Curtailment Records'!$C:$C,Table13[[#This Row],[Date]],'Curtailment Records'!$R:$R)/1000</f>
        <v>0</v>
      </c>
    </row>
    <row r="153" spans="1:48" x14ac:dyDescent="0.3">
      <c r="A153" s="100">
        <f t="shared" si="11"/>
        <v>45896</v>
      </c>
      <c r="B153" s="101">
        <f>YEAR(Table13[[#This Row],[Date]])+IF(MONTH(Table13[[#This Row],[Date]])&gt;=4,1,0)</f>
        <v>2026</v>
      </c>
      <c r="C153" s="7">
        <f>YEAR(Table13[[#This Row],[Date]])</f>
        <v>2025</v>
      </c>
      <c r="D153" s="102">
        <f>Table13[[#This Row],[Date]]-DAY(Table13[[#This Row],[Date]])+1</f>
        <v>45870</v>
      </c>
      <c r="E153" s="7">
        <f t="shared" si="8"/>
        <v>31</v>
      </c>
      <c r="F153" s="103">
        <f>IFERROR(_xlfn.XLOOKUP($A153,'Raw Data'!$G:$G,'Raw Data'!$AM:$AM),"")</f>
        <v>0</v>
      </c>
      <c r="G153" s="104">
        <f>IFERROR(_xlfn.XLOOKUP($A153,'Raw Data'!$G:$G,'Raw Data'!$AB:$AB),"")</f>
        <v>0</v>
      </c>
      <c r="H153" s="104"/>
      <c r="I153" s="104">
        <f>IFERROR(_xlfn.XLOOKUP($A153,'Raw Data'!$G:$G,'Raw Data'!$AC:$AC),"")</f>
        <v>0</v>
      </c>
      <c r="J153" s="104"/>
      <c r="K153" s="104">
        <f>IFERROR(_xlfn.XLOOKUP($A153,'Raw Data'!$G:$G,'Raw Data'!AD:AD),"")</f>
        <v>0</v>
      </c>
      <c r="L153" s="104">
        <f>IFERROR(_xlfn.XLOOKUP($A153,'Raw Data'!$G:$G,'Raw Data'!AE:AE),"")</f>
        <v>0</v>
      </c>
      <c r="M153" s="104">
        <f>IFERROR(_xlfn.XLOOKUP($A153,'Raw Data'!$G:$G,'Raw Data'!AF:AF),"")</f>
        <v>0</v>
      </c>
      <c r="N153" s="104">
        <f>IFERROR(_xlfn.XLOOKUP($A153,'Raw Data'!$G:$G,'Raw Data'!AG:AG),"")</f>
        <v>0</v>
      </c>
      <c r="O153" s="105" t="str">
        <f>IFERROR(1-SUMIF('Plant BD'!$B:$B,$A153,'Plant BD'!$AM:$AM)/($AA153+SUMIF('Plant BD'!$B:$B,$A153,'Plant BD'!$AM:$AM)),"")</f>
        <v/>
      </c>
      <c r="P153" s="105"/>
      <c r="Q153" s="106"/>
      <c r="R153" s="105" t="str">
        <f>IFERROR(1-SUMIF('Grid BD'!$B:$B,$A153,'Grid BD'!$AE:$AE)/($AA153+SUMIF('Grid BD'!$B:$B,$A153,'Grid BD'!$AE:$AE)),"")</f>
        <v/>
      </c>
      <c r="T153" s="106"/>
      <c r="U153" s="107" t="str">
        <f t="shared" si="9"/>
        <v/>
      </c>
      <c r="V153" s="107"/>
      <c r="W153" s="108">
        <f t="shared" si="10"/>
        <v>0</v>
      </c>
      <c r="X153" s="101">
        <f>IFERROR(_xlfn.XLOOKUP($A153,'Raw Data'!$G:$G,'Raw Data'!AI:AI),"")</f>
        <v>0</v>
      </c>
      <c r="Y153" s="101">
        <f>IFERROR(_xlfn.XLOOKUP($A153,'Raw Data'!$G:$G,'Raw Data'!AJ:AJ),"")</f>
        <v>0</v>
      </c>
      <c r="Z153" s="101">
        <f>IFERROR(_xlfn.XLOOKUP($A153,'Raw Data'!$G:$G,'Raw Data'!AK:AK),"")</f>
        <v>0</v>
      </c>
      <c r="AA153" s="101">
        <f>IFERROR(_xlfn.XLOOKUP($A153,'Raw Data'!$G:$G,'Raw Data'!$AL:$AL)*(1+(_xlfn.XLOOKUP(Table13[[#This Row],[Month Year]],JMR!$A:$A,JMR!$J:$J))),"")</f>
        <v>0</v>
      </c>
      <c r="AB153" s="101">
        <f>IFERROR(_xlfn.XLOOKUP($A153,'Raw Data'!$G:$G,'Raw Data'!H:H),"")</f>
        <v>8.0208999999999993</v>
      </c>
      <c r="AC153" s="67">
        <f>IFERROR(_xlfn.XLOOKUP($D153,'Modelling New'!$D:$D,'Modelling New'!P:P),"")</f>
        <v>4.2161290322580642</v>
      </c>
      <c r="AD153" s="101">
        <f>IFERROR(_xlfn.XLOOKUP($D153,'Modelling New'!$D:$D,'Modelling New'!$T:$T)*1000,"")</f>
        <v>24273.156786520856</v>
      </c>
      <c r="AE153" s="109">
        <f>IFERROR(_xlfn.XLOOKUP($D153,'Modelling New'!$D:$D,'Modelling New'!O:O),"")</f>
        <v>0.71777654975663252</v>
      </c>
      <c r="AF153" s="108">
        <f>IFERROR(_xlfn.XLOOKUP($D153,'Modelling New'!$D:$D,'Modelling New'!W:W),"")</f>
        <v>0.12609327292095679</v>
      </c>
      <c r="AG153" s="108">
        <f>IFERROR(_xlfn.XLOOKUP($D153,'Modelling New'!$D:$D,'Modelling New'!AE:AE),"")</f>
        <v>0.98040000000000005</v>
      </c>
      <c r="AH153" s="128">
        <f>IFERROR(_xlfn.XLOOKUP($D153,'Modelling New'!$D:$D,'Modelling New'!AF:AF),"")</f>
        <v>0.98</v>
      </c>
      <c r="AN153" s="105"/>
      <c r="AO153" s="108"/>
      <c r="AP153" s="108"/>
      <c r="AQ153" s="108"/>
      <c r="AR153" s="101">
        <f>'Basic Data'!$B$98/1000</f>
        <v>8.0208999999999993</v>
      </c>
      <c r="AT153" s="7">
        <f>IFERROR(_xlfn.XLOOKUP(Table13[[#This Row],[Date]],'Raw Data'!$G:$G,'Raw Data'!$AN:$AN),"")</f>
        <v>0</v>
      </c>
      <c r="AU153" s="7">
        <f>IFERROR(_xlfn.XLOOKUP(Table13[[#This Row],[Month Year]],'Modelling New'!$D:$D,'Modelling New'!$AO:$AO),"")</f>
        <v>8</v>
      </c>
      <c r="AV153" s="7">
        <f>SUMIF('Curtailment Records'!$C:$C,Table13[[#This Row],[Date]],'Curtailment Records'!$R:$R)/1000</f>
        <v>0</v>
      </c>
    </row>
    <row r="154" spans="1:48" x14ac:dyDescent="0.3">
      <c r="A154" s="100">
        <f t="shared" si="11"/>
        <v>45897</v>
      </c>
      <c r="B154" s="101">
        <f>YEAR(Table13[[#This Row],[Date]])+IF(MONTH(Table13[[#This Row],[Date]])&gt;=4,1,0)</f>
        <v>2026</v>
      </c>
      <c r="C154" s="7">
        <f>YEAR(Table13[[#This Row],[Date]])</f>
        <v>2025</v>
      </c>
      <c r="D154" s="102">
        <f>Table13[[#This Row],[Date]]-DAY(Table13[[#This Row],[Date]])+1</f>
        <v>45870</v>
      </c>
      <c r="E154" s="7">
        <f t="shared" si="8"/>
        <v>31</v>
      </c>
      <c r="F154" s="103">
        <f>IFERROR(_xlfn.XLOOKUP($A154,'Raw Data'!$G:$G,'Raw Data'!$AM:$AM),"")</f>
        <v>0</v>
      </c>
      <c r="G154" s="104">
        <f>IFERROR(_xlfn.XLOOKUP($A154,'Raw Data'!$G:$G,'Raw Data'!$AB:$AB),"")</f>
        <v>0</v>
      </c>
      <c r="H154" s="104"/>
      <c r="I154" s="104">
        <f>IFERROR(_xlfn.XLOOKUP($A154,'Raw Data'!$G:$G,'Raw Data'!$AC:$AC),"")</f>
        <v>0</v>
      </c>
      <c r="J154" s="104"/>
      <c r="K154" s="104">
        <f>IFERROR(_xlfn.XLOOKUP($A154,'Raw Data'!$G:$G,'Raw Data'!AD:AD),"")</f>
        <v>0</v>
      </c>
      <c r="L154" s="104">
        <f>IFERROR(_xlfn.XLOOKUP($A154,'Raw Data'!$G:$G,'Raw Data'!AE:AE),"")</f>
        <v>0</v>
      </c>
      <c r="M154" s="104">
        <f>IFERROR(_xlfn.XLOOKUP($A154,'Raw Data'!$G:$G,'Raw Data'!AF:AF),"")</f>
        <v>0</v>
      </c>
      <c r="N154" s="104">
        <f>IFERROR(_xlfn.XLOOKUP($A154,'Raw Data'!$G:$G,'Raw Data'!AG:AG),"")</f>
        <v>0</v>
      </c>
      <c r="O154" s="105" t="str">
        <f>IFERROR(1-SUMIF('Plant BD'!$B:$B,$A154,'Plant BD'!$AM:$AM)/($AA154+SUMIF('Plant BD'!$B:$B,$A154,'Plant BD'!$AM:$AM)),"")</f>
        <v/>
      </c>
      <c r="P154" s="105"/>
      <c r="Q154" s="106"/>
      <c r="R154" s="105" t="str">
        <f>IFERROR(1-SUMIF('Grid BD'!$B:$B,$A154,'Grid BD'!$AE:$AE)/($AA154+SUMIF('Grid BD'!$B:$B,$A154,'Grid BD'!$AE:$AE)),"")</f>
        <v/>
      </c>
      <c r="T154" s="106"/>
      <c r="U154" s="107" t="str">
        <f t="shared" si="9"/>
        <v/>
      </c>
      <c r="V154" s="107"/>
      <c r="W154" s="108">
        <f t="shared" si="10"/>
        <v>0</v>
      </c>
      <c r="X154" s="101">
        <f>IFERROR(_xlfn.XLOOKUP($A154,'Raw Data'!$G:$G,'Raw Data'!AI:AI),"")</f>
        <v>0</v>
      </c>
      <c r="Y154" s="101">
        <f>IFERROR(_xlfn.XLOOKUP($A154,'Raw Data'!$G:$G,'Raw Data'!AJ:AJ),"")</f>
        <v>0</v>
      </c>
      <c r="Z154" s="101">
        <f>IFERROR(_xlfn.XLOOKUP($A154,'Raw Data'!$G:$G,'Raw Data'!AK:AK),"")</f>
        <v>0</v>
      </c>
      <c r="AA154" s="101">
        <f>IFERROR(_xlfn.XLOOKUP($A154,'Raw Data'!$G:$G,'Raw Data'!$AL:$AL)*(1+(_xlfn.XLOOKUP(Table13[[#This Row],[Month Year]],JMR!$A:$A,JMR!$J:$J))),"")</f>
        <v>0</v>
      </c>
      <c r="AB154" s="101">
        <f>IFERROR(_xlfn.XLOOKUP($A154,'Raw Data'!$G:$G,'Raw Data'!H:H),"")</f>
        <v>8.0208999999999993</v>
      </c>
      <c r="AC154" s="67">
        <f>IFERROR(_xlfn.XLOOKUP($D154,'Modelling New'!$D:$D,'Modelling New'!P:P),"")</f>
        <v>4.2161290322580642</v>
      </c>
      <c r="AD154" s="101">
        <f>IFERROR(_xlfn.XLOOKUP($D154,'Modelling New'!$D:$D,'Modelling New'!$T:$T)*1000,"")</f>
        <v>24273.156786520856</v>
      </c>
      <c r="AE154" s="109">
        <f>IFERROR(_xlfn.XLOOKUP($D154,'Modelling New'!$D:$D,'Modelling New'!O:O),"")</f>
        <v>0.71777654975663252</v>
      </c>
      <c r="AF154" s="108">
        <f>IFERROR(_xlfn.XLOOKUP($D154,'Modelling New'!$D:$D,'Modelling New'!W:W),"")</f>
        <v>0.12609327292095679</v>
      </c>
      <c r="AG154" s="108">
        <f>IFERROR(_xlfn.XLOOKUP($D154,'Modelling New'!$D:$D,'Modelling New'!AE:AE),"")</f>
        <v>0.98040000000000005</v>
      </c>
      <c r="AH154" s="128">
        <f>IFERROR(_xlfn.XLOOKUP($D154,'Modelling New'!$D:$D,'Modelling New'!AF:AF),"")</f>
        <v>0.98</v>
      </c>
      <c r="AN154" s="105"/>
      <c r="AO154" s="108"/>
      <c r="AP154" s="108"/>
      <c r="AQ154" s="108"/>
      <c r="AR154" s="101">
        <f>'Basic Data'!$B$98/1000</f>
        <v>8.0208999999999993</v>
      </c>
      <c r="AT154" s="7">
        <f>IFERROR(_xlfn.XLOOKUP(Table13[[#This Row],[Date]],'Raw Data'!$G:$G,'Raw Data'!$AN:$AN),"")</f>
        <v>0</v>
      </c>
      <c r="AU154" s="7">
        <f>IFERROR(_xlfn.XLOOKUP(Table13[[#This Row],[Month Year]],'Modelling New'!$D:$D,'Modelling New'!$AO:$AO),"")</f>
        <v>8</v>
      </c>
      <c r="AV154" s="7">
        <f>SUMIF('Curtailment Records'!$C:$C,Table13[[#This Row],[Date]],'Curtailment Records'!$R:$R)/1000</f>
        <v>0</v>
      </c>
    </row>
    <row r="155" spans="1:48" x14ac:dyDescent="0.3">
      <c r="A155" s="100">
        <f t="shared" si="11"/>
        <v>45898</v>
      </c>
      <c r="B155" s="101">
        <f>YEAR(Table13[[#This Row],[Date]])+IF(MONTH(Table13[[#This Row],[Date]])&gt;=4,1,0)</f>
        <v>2026</v>
      </c>
      <c r="C155" s="7">
        <f>YEAR(Table13[[#This Row],[Date]])</f>
        <v>2025</v>
      </c>
      <c r="D155" s="102">
        <f>Table13[[#This Row],[Date]]-DAY(Table13[[#This Row],[Date]])+1</f>
        <v>45870</v>
      </c>
      <c r="E155" s="7">
        <f t="shared" si="8"/>
        <v>31</v>
      </c>
      <c r="F155" s="103">
        <f>IFERROR(_xlfn.XLOOKUP($A155,'Raw Data'!$G:$G,'Raw Data'!$AM:$AM),"")</f>
        <v>0</v>
      </c>
      <c r="G155" s="104">
        <f>IFERROR(_xlfn.XLOOKUP($A155,'Raw Data'!$G:$G,'Raw Data'!$AB:$AB),"")</f>
        <v>0</v>
      </c>
      <c r="H155" s="104"/>
      <c r="I155" s="104">
        <f>IFERROR(_xlfn.XLOOKUP($A155,'Raw Data'!$G:$G,'Raw Data'!$AC:$AC),"")</f>
        <v>0</v>
      </c>
      <c r="J155" s="104"/>
      <c r="K155" s="104">
        <f>IFERROR(_xlfn.XLOOKUP($A155,'Raw Data'!$G:$G,'Raw Data'!AD:AD),"")</f>
        <v>0</v>
      </c>
      <c r="L155" s="104">
        <f>IFERROR(_xlfn.XLOOKUP($A155,'Raw Data'!$G:$G,'Raw Data'!AE:AE),"")</f>
        <v>0</v>
      </c>
      <c r="M155" s="104">
        <f>IFERROR(_xlfn.XLOOKUP($A155,'Raw Data'!$G:$G,'Raw Data'!AF:AF),"")</f>
        <v>0</v>
      </c>
      <c r="N155" s="104">
        <f>IFERROR(_xlfn.XLOOKUP($A155,'Raw Data'!$G:$G,'Raw Data'!AG:AG),"")</f>
        <v>0</v>
      </c>
      <c r="O155" s="105" t="str">
        <f>IFERROR(1-SUMIF('Plant BD'!$B:$B,$A155,'Plant BD'!$AM:$AM)/($AA155+SUMIF('Plant BD'!$B:$B,$A155,'Plant BD'!$AM:$AM)),"")</f>
        <v/>
      </c>
      <c r="P155" s="105"/>
      <c r="Q155" s="106"/>
      <c r="R155" s="105" t="str">
        <f>IFERROR(1-SUMIF('Grid BD'!$B:$B,$A155,'Grid BD'!$AE:$AE)/($AA155+SUMIF('Grid BD'!$B:$B,$A155,'Grid BD'!$AE:$AE)),"")</f>
        <v/>
      </c>
      <c r="T155" s="106"/>
      <c r="U155" s="107" t="str">
        <f t="shared" si="9"/>
        <v/>
      </c>
      <c r="V155" s="107"/>
      <c r="W155" s="108">
        <f t="shared" si="10"/>
        <v>0</v>
      </c>
      <c r="X155" s="101">
        <f>IFERROR(_xlfn.XLOOKUP($A155,'Raw Data'!$G:$G,'Raw Data'!AI:AI),"")</f>
        <v>0</v>
      </c>
      <c r="Y155" s="101">
        <f>IFERROR(_xlfn.XLOOKUP($A155,'Raw Data'!$G:$G,'Raw Data'!AJ:AJ),"")</f>
        <v>0</v>
      </c>
      <c r="Z155" s="101">
        <f>IFERROR(_xlfn.XLOOKUP($A155,'Raw Data'!$G:$G,'Raw Data'!AK:AK),"")</f>
        <v>0</v>
      </c>
      <c r="AA155" s="101">
        <f>IFERROR(_xlfn.XLOOKUP($A155,'Raw Data'!$G:$G,'Raw Data'!$AL:$AL)*(1+(_xlfn.XLOOKUP(Table13[[#This Row],[Month Year]],JMR!$A:$A,JMR!$J:$J))),"")</f>
        <v>0</v>
      </c>
      <c r="AB155" s="101">
        <f>IFERROR(_xlfn.XLOOKUP($A155,'Raw Data'!$G:$G,'Raw Data'!H:H),"")</f>
        <v>8.0208999999999993</v>
      </c>
      <c r="AC155" s="67">
        <f>IFERROR(_xlfn.XLOOKUP($D155,'Modelling New'!$D:$D,'Modelling New'!P:P),"")</f>
        <v>4.2161290322580642</v>
      </c>
      <c r="AD155" s="101">
        <f>IFERROR(_xlfn.XLOOKUP($D155,'Modelling New'!$D:$D,'Modelling New'!$T:$T)*1000,"")</f>
        <v>24273.156786520856</v>
      </c>
      <c r="AE155" s="109">
        <f>IFERROR(_xlfn.XLOOKUP($D155,'Modelling New'!$D:$D,'Modelling New'!O:O),"")</f>
        <v>0.71777654975663252</v>
      </c>
      <c r="AF155" s="108">
        <f>IFERROR(_xlfn.XLOOKUP($D155,'Modelling New'!$D:$D,'Modelling New'!W:W),"")</f>
        <v>0.12609327292095679</v>
      </c>
      <c r="AG155" s="108">
        <f>IFERROR(_xlfn.XLOOKUP($D155,'Modelling New'!$D:$D,'Modelling New'!AE:AE),"")</f>
        <v>0.98040000000000005</v>
      </c>
      <c r="AH155" s="128">
        <f>IFERROR(_xlfn.XLOOKUP($D155,'Modelling New'!$D:$D,'Modelling New'!AF:AF),"")</f>
        <v>0.98</v>
      </c>
      <c r="AN155" s="105"/>
      <c r="AO155" s="108"/>
      <c r="AP155" s="108"/>
      <c r="AQ155" s="108"/>
      <c r="AR155" s="101">
        <f>'Basic Data'!$B$98/1000</f>
        <v>8.0208999999999993</v>
      </c>
      <c r="AT155" s="7">
        <f>IFERROR(_xlfn.XLOOKUP(Table13[[#This Row],[Date]],'Raw Data'!$G:$G,'Raw Data'!$AN:$AN),"")</f>
        <v>0</v>
      </c>
      <c r="AU155" s="7">
        <f>IFERROR(_xlfn.XLOOKUP(Table13[[#This Row],[Month Year]],'Modelling New'!$D:$D,'Modelling New'!$AO:$AO),"")</f>
        <v>8</v>
      </c>
      <c r="AV155" s="7">
        <f>SUMIF('Curtailment Records'!$C:$C,Table13[[#This Row],[Date]],'Curtailment Records'!$R:$R)/1000</f>
        <v>0</v>
      </c>
    </row>
    <row r="156" spans="1:48" x14ac:dyDescent="0.3">
      <c r="A156" s="100">
        <f t="shared" si="11"/>
        <v>45899</v>
      </c>
      <c r="B156" s="101">
        <f>YEAR(Table13[[#This Row],[Date]])+IF(MONTH(Table13[[#This Row],[Date]])&gt;=4,1,0)</f>
        <v>2026</v>
      </c>
      <c r="C156" s="7">
        <f>YEAR(Table13[[#This Row],[Date]])</f>
        <v>2025</v>
      </c>
      <c r="D156" s="102">
        <f>Table13[[#This Row],[Date]]-DAY(Table13[[#This Row],[Date]])+1</f>
        <v>45870</v>
      </c>
      <c r="E156" s="7">
        <f t="shared" si="8"/>
        <v>31</v>
      </c>
      <c r="F156" s="103">
        <f>IFERROR(_xlfn.XLOOKUP($A156,'Raw Data'!$G:$G,'Raw Data'!$AM:$AM),"")</f>
        <v>0</v>
      </c>
      <c r="G156" s="104">
        <f>IFERROR(_xlfn.XLOOKUP($A156,'Raw Data'!$G:$G,'Raw Data'!$AB:$AB),"")</f>
        <v>0</v>
      </c>
      <c r="H156" s="104"/>
      <c r="I156" s="104">
        <f>IFERROR(_xlfn.XLOOKUP($A156,'Raw Data'!$G:$G,'Raw Data'!$AC:$AC),"")</f>
        <v>0</v>
      </c>
      <c r="J156" s="104"/>
      <c r="K156" s="104">
        <f>IFERROR(_xlfn.XLOOKUP($A156,'Raw Data'!$G:$G,'Raw Data'!AD:AD),"")</f>
        <v>0</v>
      </c>
      <c r="L156" s="104">
        <f>IFERROR(_xlfn.XLOOKUP($A156,'Raw Data'!$G:$G,'Raw Data'!AE:AE),"")</f>
        <v>0</v>
      </c>
      <c r="M156" s="104">
        <f>IFERROR(_xlfn.XLOOKUP($A156,'Raw Data'!$G:$G,'Raw Data'!AF:AF),"")</f>
        <v>0</v>
      </c>
      <c r="N156" s="104">
        <f>IFERROR(_xlfn.XLOOKUP($A156,'Raw Data'!$G:$G,'Raw Data'!AG:AG),"")</f>
        <v>0</v>
      </c>
      <c r="O156" s="105" t="str">
        <f>IFERROR(1-SUMIF('Plant BD'!$B:$B,$A156,'Plant BD'!$AM:$AM)/($AA156+SUMIF('Plant BD'!$B:$B,$A156,'Plant BD'!$AM:$AM)),"")</f>
        <v/>
      </c>
      <c r="P156" s="105"/>
      <c r="Q156" s="106"/>
      <c r="R156" s="105" t="str">
        <f>IFERROR(1-SUMIF('Grid BD'!$B:$B,$A156,'Grid BD'!$AE:$AE)/($AA156+SUMIF('Grid BD'!$B:$B,$A156,'Grid BD'!$AE:$AE)),"")</f>
        <v/>
      </c>
      <c r="T156" s="106"/>
      <c r="U156" s="107" t="str">
        <f t="shared" si="9"/>
        <v/>
      </c>
      <c r="V156" s="107"/>
      <c r="W156" s="108">
        <f t="shared" si="10"/>
        <v>0</v>
      </c>
      <c r="X156" s="101">
        <f>IFERROR(_xlfn.XLOOKUP($A156,'Raw Data'!$G:$G,'Raw Data'!AI:AI),"")</f>
        <v>0</v>
      </c>
      <c r="Y156" s="101">
        <f>IFERROR(_xlfn.XLOOKUP($A156,'Raw Data'!$G:$G,'Raw Data'!AJ:AJ),"")</f>
        <v>0</v>
      </c>
      <c r="Z156" s="101">
        <f>IFERROR(_xlfn.XLOOKUP($A156,'Raw Data'!$G:$G,'Raw Data'!AK:AK),"")</f>
        <v>0</v>
      </c>
      <c r="AA156" s="101">
        <f>IFERROR(_xlfn.XLOOKUP($A156,'Raw Data'!$G:$G,'Raw Data'!$AL:$AL)*(1+(_xlfn.XLOOKUP(Table13[[#This Row],[Month Year]],JMR!$A:$A,JMR!$J:$J))),"")</f>
        <v>0</v>
      </c>
      <c r="AB156" s="101">
        <f>IFERROR(_xlfn.XLOOKUP($A156,'Raw Data'!$G:$G,'Raw Data'!H:H),"")</f>
        <v>8.0208999999999993</v>
      </c>
      <c r="AC156" s="67">
        <f>IFERROR(_xlfn.XLOOKUP($D156,'Modelling New'!$D:$D,'Modelling New'!P:P),"")</f>
        <v>4.2161290322580642</v>
      </c>
      <c r="AD156" s="101">
        <f>IFERROR(_xlfn.XLOOKUP($D156,'Modelling New'!$D:$D,'Modelling New'!$T:$T)*1000,"")</f>
        <v>24273.156786520856</v>
      </c>
      <c r="AE156" s="109">
        <f>IFERROR(_xlfn.XLOOKUP($D156,'Modelling New'!$D:$D,'Modelling New'!O:O),"")</f>
        <v>0.71777654975663252</v>
      </c>
      <c r="AF156" s="108">
        <f>IFERROR(_xlfn.XLOOKUP($D156,'Modelling New'!$D:$D,'Modelling New'!W:W),"")</f>
        <v>0.12609327292095679</v>
      </c>
      <c r="AG156" s="108">
        <f>IFERROR(_xlfn.XLOOKUP($D156,'Modelling New'!$D:$D,'Modelling New'!AE:AE),"")</f>
        <v>0.98040000000000005</v>
      </c>
      <c r="AH156" s="128">
        <f>IFERROR(_xlfn.XLOOKUP($D156,'Modelling New'!$D:$D,'Modelling New'!AF:AF),"")</f>
        <v>0.98</v>
      </c>
      <c r="AN156" s="105"/>
      <c r="AO156" s="108"/>
      <c r="AP156" s="108"/>
      <c r="AQ156" s="108"/>
      <c r="AR156" s="101">
        <f>'Basic Data'!$B$98/1000</f>
        <v>8.0208999999999993</v>
      </c>
      <c r="AT156" s="7">
        <f>IFERROR(_xlfn.XLOOKUP(Table13[[#This Row],[Date]],'Raw Data'!$G:$G,'Raw Data'!$AN:$AN),"")</f>
        <v>0</v>
      </c>
      <c r="AU156" s="7">
        <f>IFERROR(_xlfn.XLOOKUP(Table13[[#This Row],[Month Year]],'Modelling New'!$D:$D,'Modelling New'!$AO:$AO),"")</f>
        <v>8</v>
      </c>
      <c r="AV156" s="7">
        <f>SUMIF('Curtailment Records'!$C:$C,Table13[[#This Row],[Date]],'Curtailment Records'!$R:$R)/1000</f>
        <v>0</v>
      </c>
    </row>
    <row r="157" spans="1:48" x14ac:dyDescent="0.3">
      <c r="A157" s="100">
        <f t="shared" si="11"/>
        <v>45900</v>
      </c>
      <c r="B157" s="101">
        <f>YEAR(Table13[[#This Row],[Date]])+IF(MONTH(Table13[[#This Row],[Date]])&gt;=4,1,0)</f>
        <v>2026</v>
      </c>
      <c r="C157" s="7">
        <f>YEAR(Table13[[#This Row],[Date]])</f>
        <v>2025</v>
      </c>
      <c r="D157" s="102">
        <f>Table13[[#This Row],[Date]]-DAY(Table13[[#This Row],[Date]])+1</f>
        <v>45870</v>
      </c>
      <c r="E157" s="7">
        <f t="shared" si="8"/>
        <v>31</v>
      </c>
      <c r="F157" s="103">
        <f>IFERROR(_xlfn.XLOOKUP($A157,'Raw Data'!$G:$G,'Raw Data'!$AM:$AM),"")</f>
        <v>0</v>
      </c>
      <c r="G157" s="104">
        <f>IFERROR(_xlfn.XLOOKUP($A157,'Raw Data'!$G:$G,'Raw Data'!$AB:$AB),"")</f>
        <v>0</v>
      </c>
      <c r="H157" s="104"/>
      <c r="I157" s="104">
        <f>IFERROR(_xlfn.XLOOKUP($A157,'Raw Data'!$G:$G,'Raw Data'!$AC:$AC),"")</f>
        <v>0</v>
      </c>
      <c r="J157" s="104"/>
      <c r="K157" s="104">
        <f>IFERROR(_xlfn.XLOOKUP($A157,'Raw Data'!$G:$G,'Raw Data'!AD:AD),"")</f>
        <v>0</v>
      </c>
      <c r="L157" s="104">
        <f>IFERROR(_xlfn.XLOOKUP($A157,'Raw Data'!$G:$G,'Raw Data'!AE:AE),"")</f>
        <v>0</v>
      </c>
      <c r="M157" s="104">
        <f>IFERROR(_xlfn.XLOOKUP($A157,'Raw Data'!$G:$G,'Raw Data'!AF:AF),"")</f>
        <v>0</v>
      </c>
      <c r="N157" s="104">
        <f>IFERROR(_xlfn.XLOOKUP($A157,'Raw Data'!$G:$G,'Raw Data'!AG:AG),"")</f>
        <v>0</v>
      </c>
      <c r="O157" s="105" t="str">
        <f>IFERROR(1-SUMIF('Plant BD'!$B:$B,$A157,'Plant BD'!$AM:$AM)/($AA157+SUMIF('Plant BD'!$B:$B,$A157,'Plant BD'!$AM:$AM)),"")</f>
        <v/>
      </c>
      <c r="P157" s="105"/>
      <c r="Q157" s="106"/>
      <c r="R157" s="105" t="str">
        <f>IFERROR(1-SUMIF('Grid BD'!$B:$B,$A157,'Grid BD'!$AE:$AE)/($AA157+SUMIF('Grid BD'!$B:$B,$A157,'Grid BD'!$AE:$AE)),"")</f>
        <v/>
      </c>
      <c r="T157" s="106"/>
      <c r="U157" s="107" t="str">
        <f t="shared" si="9"/>
        <v/>
      </c>
      <c r="V157" s="107"/>
      <c r="W157" s="108">
        <f t="shared" si="10"/>
        <v>0</v>
      </c>
      <c r="X157" s="101">
        <f>IFERROR(_xlfn.XLOOKUP($A157,'Raw Data'!$G:$G,'Raw Data'!AI:AI),"")</f>
        <v>0</v>
      </c>
      <c r="Y157" s="101">
        <f>IFERROR(_xlfn.XLOOKUP($A157,'Raw Data'!$G:$G,'Raw Data'!AJ:AJ),"")</f>
        <v>0</v>
      </c>
      <c r="Z157" s="101">
        <f>IFERROR(_xlfn.XLOOKUP($A157,'Raw Data'!$G:$G,'Raw Data'!AK:AK),"")</f>
        <v>0</v>
      </c>
      <c r="AA157" s="101">
        <f>IFERROR(_xlfn.XLOOKUP($A157,'Raw Data'!$G:$G,'Raw Data'!$AL:$AL)*(1+(_xlfn.XLOOKUP(Table13[[#This Row],[Month Year]],JMR!$A:$A,JMR!$J:$J))),"")</f>
        <v>0</v>
      </c>
      <c r="AB157" s="101">
        <f>IFERROR(_xlfn.XLOOKUP($A157,'Raw Data'!$G:$G,'Raw Data'!H:H),"")</f>
        <v>8.0208999999999993</v>
      </c>
      <c r="AC157" s="67">
        <f>IFERROR(_xlfn.XLOOKUP($D157,'Modelling New'!$D:$D,'Modelling New'!P:P),"")</f>
        <v>4.2161290322580642</v>
      </c>
      <c r="AD157" s="101">
        <f>IFERROR(_xlfn.XLOOKUP($D157,'Modelling New'!$D:$D,'Modelling New'!$T:$T)*1000,"")</f>
        <v>24273.156786520856</v>
      </c>
      <c r="AE157" s="109">
        <f>IFERROR(_xlfn.XLOOKUP($D157,'Modelling New'!$D:$D,'Modelling New'!O:O),"")</f>
        <v>0.71777654975663252</v>
      </c>
      <c r="AF157" s="108">
        <f>IFERROR(_xlfn.XLOOKUP($D157,'Modelling New'!$D:$D,'Modelling New'!W:W),"")</f>
        <v>0.12609327292095679</v>
      </c>
      <c r="AG157" s="108">
        <f>IFERROR(_xlfn.XLOOKUP($D157,'Modelling New'!$D:$D,'Modelling New'!AE:AE),"")</f>
        <v>0.98040000000000005</v>
      </c>
      <c r="AH157" s="128">
        <f>IFERROR(_xlfn.XLOOKUP($D157,'Modelling New'!$D:$D,'Modelling New'!AF:AF),"")</f>
        <v>0.98</v>
      </c>
      <c r="AN157" s="105"/>
      <c r="AO157" s="108"/>
      <c r="AP157" s="108"/>
      <c r="AQ157" s="108"/>
      <c r="AR157" s="101">
        <f>'Basic Data'!$B$98/1000</f>
        <v>8.0208999999999993</v>
      </c>
      <c r="AT157" s="7">
        <f>IFERROR(_xlfn.XLOOKUP(Table13[[#This Row],[Date]],'Raw Data'!$G:$G,'Raw Data'!$AN:$AN),"")</f>
        <v>0</v>
      </c>
      <c r="AU157" s="7">
        <f>IFERROR(_xlfn.XLOOKUP(Table13[[#This Row],[Month Year]],'Modelling New'!$D:$D,'Modelling New'!$AO:$AO),"")</f>
        <v>8</v>
      </c>
      <c r="AV157" s="7">
        <f>SUMIF('Curtailment Records'!$C:$C,Table13[[#This Row],[Date]],'Curtailment Records'!$R:$R)/1000</f>
        <v>0</v>
      </c>
    </row>
    <row r="158" spans="1:48" x14ac:dyDescent="0.3">
      <c r="A158" s="100">
        <f t="shared" si="11"/>
        <v>45901</v>
      </c>
      <c r="B158" s="101">
        <f>YEAR(Table13[[#This Row],[Date]])+IF(MONTH(Table13[[#This Row],[Date]])&gt;=4,1,0)</f>
        <v>2026</v>
      </c>
      <c r="C158" s="7">
        <f>YEAR(Table13[[#This Row],[Date]])</f>
        <v>2025</v>
      </c>
      <c r="D158" s="102">
        <f>Table13[[#This Row],[Date]]-DAY(Table13[[#This Row],[Date]])+1</f>
        <v>45901</v>
      </c>
      <c r="E158" s="7">
        <f t="shared" si="8"/>
        <v>30</v>
      </c>
      <c r="F158" s="103">
        <f>IFERROR(_xlfn.XLOOKUP($A158,'Raw Data'!$G:$G,'Raw Data'!$AM:$AM),"")</f>
        <v>0</v>
      </c>
      <c r="G158" s="104">
        <f>IFERROR(_xlfn.XLOOKUP($A158,'Raw Data'!$G:$G,'Raw Data'!$AB:$AB),"")</f>
        <v>0</v>
      </c>
      <c r="H158" s="104"/>
      <c r="I158" s="104">
        <f>IFERROR(_xlfn.XLOOKUP($A158,'Raw Data'!$G:$G,'Raw Data'!$AC:$AC),"")</f>
        <v>0</v>
      </c>
      <c r="J158" s="104"/>
      <c r="K158" s="104">
        <f>IFERROR(_xlfn.XLOOKUP($A158,'Raw Data'!$G:$G,'Raw Data'!AD:AD),"")</f>
        <v>0</v>
      </c>
      <c r="L158" s="104">
        <f>IFERROR(_xlfn.XLOOKUP($A158,'Raw Data'!$G:$G,'Raw Data'!AE:AE),"")</f>
        <v>0</v>
      </c>
      <c r="M158" s="104">
        <f>IFERROR(_xlfn.XLOOKUP($A158,'Raw Data'!$G:$G,'Raw Data'!AF:AF),"")</f>
        <v>0</v>
      </c>
      <c r="N158" s="104">
        <f>IFERROR(_xlfn.XLOOKUP($A158,'Raw Data'!$G:$G,'Raw Data'!AG:AG),"")</f>
        <v>0</v>
      </c>
      <c r="O158" s="105" t="str">
        <f>IFERROR(1-SUMIF('Plant BD'!$B:$B,$A158,'Plant BD'!$AM:$AM)/($AA158+SUMIF('Plant BD'!$B:$B,$A158,'Plant BD'!$AM:$AM)),"")</f>
        <v/>
      </c>
      <c r="P158" s="105"/>
      <c r="Q158" s="106"/>
      <c r="R158" s="105" t="str">
        <f>IFERROR(1-SUMIF('Grid BD'!$B:$B,$A158,'Grid BD'!$AE:$AE)/($AA158+SUMIF('Grid BD'!$B:$B,$A158,'Grid BD'!$AE:$AE)),"")</f>
        <v/>
      </c>
      <c r="T158" s="106"/>
      <c r="U158" s="107" t="str">
        <f t="shared" si="9"/>
        <v/>
      </c>
      <c r="V158" s="107"/>
      <c r="W158" s="108" t="str">
        <f t="shared" si="10"/>
        <v/>
      </c>
      <c r="X158" s="101">
        <f>IFERROR(_xlfn.XLOOKUP($A158,'Raw Data'!$G:$G,'Raw Data'!AI:AI),"")</f>
        <v>0</v>
      </c>
      <c r="Y158" s="101">
        <f>IFERROR(_xlfn.XLOOKUP($A158,'Raw Data'!$G:$G,'Raw Data'!AJ:AJ),"")</f>
        <v>0</v>
      </c>
      <c r="Z158" s="101">
        <f>IFERROR(_xlfn.XLOOKUP($A158,'Raw Data'!$G:$G,'Raw Data'!AK:AK),"")</f>
        <v>0</v>
      </c>
      <c r="AA158" s="101" t="str">
        <f>IFERROR(_xlfn.XLOOKUP($A158,'Raw Data'!$G:$G,'Raw Data'!$AL:$AL)*(1+(_xlfn.XLOOKUP(Table13[[#This Row],[Month Year]],JMR!$A:$A,JMR!$J:$J))),"")</f>
        <v/>
      </c>
      <c r="AB158" s="101">
        <f>IFERROR(_xlfn.XLOOKUP($A158,'Raw Data'!$G:$G,'Raw Data'!H:H),"")</f>
        <v>8.0208999999999993</v>
      </c>
      <c r="AC158" s="67">
        <f>IFERROR(_xlfn.XLOOKUP($D158,'Modelling New'!$D:$D,'Modelling New'!P:P),"")</f>
        <v>4.8466666666666667</v>
      </c>
      <c r="AD158" s="101">
        <f>IFERROR(_xlfn.XLOOKUP($D158,'Modelling New'!$D:$D,'Modelling New'!$T:$T)*1000,"")</f>
        <v>27099.030800071054</v>
      </c>
      <c r="AE158" s="109">
        <f>IFERROR(_xlfn.XLOOKUP($D158,'Modelling New'!$D:$D,'Modelling New'!O:O),"")</f>
        <v>0.69708783670793795</v>
      </c>
      <c r="AF158" s="108">
        <f>IFERROR(_xlfn.XLOOKUP($D158,'Modelling New'!$D:$D,'Modelling New'!W:W),"")</f>
        <v>0.14077301591296412</v>
      </c>
      <c r="AG158" s="108">
        <f>IFERROR(_xlfn.XLOOKUP($D158,'Modelling New'!$D:$D,'Modelling New'!AE:AE),"")</f>
        <v>0.98040000000000005</v>
      </c>
      <c r="AH158" s="128">
        <f>IFERROR(_xlfn.XLOOKUP($D158,'Modelling New'!$D:$D,'Modelling New'!AF:AF),"")</f>
        <v>0.98</v>
      </c>
      <c r="AN158" s="105"/>
      <c r="AO158" s="108"/>
      <c r="AP158" s="108"/>
      <c r="AQ158" s="108"/>
      <c r="AR158" s="101">
        <f>'Basic Data'!$B$98/1000</f>
        <v>8.0208999999999993</v>
      </c>
      <c r="AT158" s="7">
        <f>IFERROR(_xlfn.XLOOKUP(Table13[[#This Row],[Date]],'Raw Data'!$G:$G,'Raw Data'!$AN:$AN),"")</f>
        <v>0</v>
      </c>
      <c r="AU158" s="7">
        <f>IFERROR(_xlfn.XLOOKUP(Table13[[#This Row],[Month Year]],'Modelling New'!$D:$D,'Modelling New'!$AO:$AO),"")</f>
        <v>8</v>
      </c>
      <c r="AV158" s="7">
        <f>SUMIF('Curtailment Records'!$C:$C,Table13[[#This Row],[Date]],'Curtailment Records'!$R:$R)/1000</f>
        <v>0</v>
      </c>
    </row>
    <row r="159" spans="1:48" x14ac:dyDescent="0.3">
      <c r="A159" s="100">
        <f t="shared" si="11"/>
        <v>45902</v>
      </c>
      <c r="B159" s="101">
        <f>YEAR(Table13[[#This Row],[Date]])+IF(MONTH(Table13[[#This Row],[Date]])&gt;=4,1,0)</f>
        <v>2026</v>
      </c>
      <c r="C159" s="7">
        <f>YEAR(Table13[[#This Row],[Date]])</f>
        <v>2025</v>
      </c>
      <c r="D159" s="102">
        <f>Table13[[#This Row],[Date]]-DAY(Table13[[#This Row],[Date]])+1</f>
        <v>45901</v>
      </c>
      <c r="E159" s="7">
        <f t="shared" si="8"/>
        <v>30</v>
      </c>
      <c r="F159" s="103">
        <f>IFERROR(_xlfn.XLOOKUP($A159,'Raw Data'!$G:$G,'Raw Data'!$AM:$AM),"")</f>
        <v>0</v>
      </c>
      <c r="G159" s="104">
        <f>IFERROR(_xlfn.XLOOKUP($A159,'Raw Data'!$G:$G,'Raw Data'!$AB:$AB),"")</f>
        <v>0</v>
      </c>
      <c r="H159" s="104"/>
      <c r="I159" s="104">
        <f>IFERROR(_xlfn.XLOOKUP($A159,'Raw Data'!$G:$G,'Raw Data'!$AC:$AC),"")</f>
        <v>0</v>
      </c>
      <c r="J159" s="104"/>
      <c r="K159" s="104">
        <f>IFERROR(_xlfn.XLOOKUP($A159,'Raw Data'!$G:$G,'Raw Data'!AD:AD),"")</f>
        <v>0</v>
      </c>
      <c r="L159" s="104">
        <f>IFERROR(_xlfn.XLOOKUP($A159,'Raw Data'!$G:$G,'Raw Data'!AE:AE),"")</f>
        <v>0</v>
      </c>
      <c r="M159" s="104">
        <f>IFERROR(_xlfn.XLOOKUP($A159,'Raw Data'!$G:$G,'Raw Data'!AF:AF),"")</f>
        <v>0</v>
      </c>
      <c r="N159" s="104">
        <f>IFERROR(_xlfn.XLOOKUP($A159,'Raw Data'!$G:$G,'Raw Data'!AG:AG),"")</f>
        <v>0</v>
      </c>
      <c r="O159" s="105" t="str">
        <f>IFERROR(1-SUMIF('Plant BD'!$B:$B,$A159,'Plant BD'!$AM:$AM)/($AA159+SUMIF('Plant BD'!$B:$B,$A159,'Plant BD'!$AM:$AM)),"")</f>
        <v/>
      </c>
      <c r="P159" s="105"/>
      <c r="Q159" s="106"/>
      <c r="R159" s="105" t="str">
        <f>IFERROR(1-SUMIF('Grid BD'!$B:$B,$A159,'Grid BD'!$AE:$AE)/($AA159+SUMIF('Grid BD'!$B:$B,$A159,'Grid BD'!$AE:$AE)),"")</f>
        <v/>
      </c>
      <c r="T159" s="106"/>
      <c r="U159" s="107" t="str">
        <f t="shared" si="9"/>
        <v/>
      </c>
      <c r="V159" s="107"/>
      <c r="W159" s="108" t="str">
        <f t="shared" si="10"/>
        <v/>
      </c>
      <c r="X159" s="101">
        <f>IFERROR(_xlfn.XLOOKUP($A159,'Raw Data'!$G:$G,'Raw Data'!AI:AI),"")</f>
        <v>0</v>
      </c>
      <c r="Y159" s="101">
        <f>IFERROR(_xlfn.XLOOKUP($A159,'Raw Data'!$G:$G,'Raw Data'!AJ:AJ),"")</f>
        <v>0</v>
      </c>
      <c r="Z159" s="101">
        <f>IFERROR(_xlfn.XLOOKUP($A159,'Raw Data'!$G:$G,'Raw Data'!AK:AK),"")</f>
        <v>0</v>
      </c>
      <c r="AA159" s="101" t="str">
        <f>IFERROR(_xlfn.XLOOKUP($A159,'Raw Data'!$G:$G,'Raw Data'!$AL:$AL)*(1+(_xlfn.XLOOKUP(Table13[[#This Row],[Month Year]],JMR!$A:$A,JMR!$J:$J))),"")</f>
        <v/>
      </c>
      <c r="AB159" s="101">
        <f>IFERROR(_xlfn.XLOOKUP($A159,'Raw Data'!$G:$G,'Raw Data'!H:H),"")</f>
        <v>8.0208999999999993</v>
      </c>
      <c r="AC159" s="67">
        <f>IFERROR(_xlfn.XLOOKUP($D159,'Modelling New'!$D:$D,'Modelling New'!P:P),"")</f>
        <v>4.8466666666666667</v>
      </c>
      <c r="AD159" s="101">
        <f>IFERROR(_xlfn.XLOOKUP($D159,'Modelling New'!$D:$D,'Modelling New'!$T:$T)*1000,"")</f>
        <v>27099.030800071054</v>
      </c>
      <c r="AE159" s="109">
        <f>IFERROR(_xlfn.XLOOKUP($D159,'Modelling New'!$D:$D,'Modelling New'!O:O),"")</f>
        <v>0.69708783670793795</v>
      </c>
      <c r="AF159" s="108">
        <f>IFERROR(_xlfn.XLOOKUP($D159,'Modelling New'!$D:$D,'Modelling New'!W:W),"")</f>
        <v>0.14077301591296412</v>
      </c>
      <c r="AG159" s="108">
        <f>IFERROR(_xlfn.XLOOKUP($D159,'Modelling New'!$D:$D,'Modelling New'!AE:AE),"")</f>
        <v>0.98040000000000005</v>
      </c>
      <c r="AH159" s="128">
        <f>IFERROR(_xlfn.XLOOKUP($D159,'Modelling New'!$D:$D,'Modelling New'!AF:AF),"")</f>
        <v>0.98</v>
      </c>
      <c r="AN159" s="105"/>
      <c r="AO159" s="108"/>
      <c r="AP159" s="108"/>
      <c r="AQ159" s="108"/>
      <c r="AR159" s="101">
        <f>'Basic Data'!$B$98/1000</f>
        <v>8.0208999999999993</v>
      </c>
      <c r="AT159" s="7">
        <f>IFERROR(_xlfn.XLOOKUP(Table13[[#This Row],[Date]],'Raw Data'!$G:$G,'Raw Data'!$AN:$AN),"")</f>
        <v>0</v>
      </c>
      <c r="AU159" s="7">
        <f>IFERROR(_xlfn.XLOOKUP(Table13[[#This Row],[Month Year]],'Modelling New'!$D:$D,'Modelling New'!$AO:$AO),"")</f>
        <v>8</v>
      </c>
      <c r="AV159" s="7">
        <f>SUMIF('Curtailment Records'!$C:$C,Table13[[#This Row],[Date]],'Curtailment Records'!$R:$R)/1000</f>
        <v>0</v>
      </c>
    </row>
    <row r="160" spans="1:48" x14ac:dyDescent="0.3">
      <c r="A160" s="100">
        <f t="shared" si="11"/>
        <v>45903</v>
      </c>
      <c r="B160" s="101">
        <f>YEAR(Table13[[#This Row],[Date]])+IF(MONTH(Table13[[#This Row],[Date]])&gt;=4,1,0)</f>
        <v>2026</v>
      </c>
      <c r="C160" s="7">
        <f>YEAR(Table13[[#This Row],[Date]])</f>
        <v>2025</v>
      </c>
      <c r="D160" s="102">
        <f>Table13[[#This Row],[Date]]-DAY(Table13[[#This Row],[Date]])+1</f>
        <v>45901</v>
      </c>
      <c r="E160" s="7">
        <f t="shared" si="8"/>
        <v>30</v>
      </c>
      <c r="F160" s="103">
        <f>IFERROR(_xlfn.XLOOKUP($A160,'Raw Data'!$G:$G,'Raw Data'!$AM:$AM),"")</f>
        <v>0</v>
      </c>
      <c r="G160" s="104">
        <f>IFERROR(_xlfn.XLOOKUP($A160,'Raw Data'!$G:$G,'Raw Data'!$AB:$AB),"")</f>
        <v>0</v>
      </c>
      <c r="H160" s="104"/>
      <c r="I160" s="104">
        <f>IFERROR(_xlfn.XLOOKUP($A160,'Raw Data'!$G:$G,'Raw Data'!$AC:$AC),"")</f>
        <v>0</v>
      </c>
      <c r="J160" s="104"/>
      <c r="K160" s="104">
        <f>IFERROR(_xlfn.XLOOKUP($A160,'Raw Data'!$G:$G,'Raw Data'!AD:AD),"")</f>
        <v>0</v>
      </c>
      <c r="L160" s="104">
        <f>IFERROR(_xlfn.XLOOKUP($A160,'Raw Data'!$G:$G,'Raw Data'!AE:AE),"")</f>
        <v>0</v>
      </c>
      <c r="M160" s="104">
        <f>IFERROR(_xlfn.XLOOKUP($A160,'Raw Data'!$G:$G,'Raw Data'!AF:AF),"")</f>
        <v>0</v>
      </c>
      <c r="N160" s="104">
        <f>IFERROR(_xlfn.XLOOKUP($A160,'Raw Data'!$G:$G,'Raw Data'!AG:AG),"")</f>
        <v>0</v>
      </c>
      <c r="O160" s="105" t="str">
        <f>IFERROR(1-SUMIF('Plant BD'!$B:$B,$A160,'Plant BD'!$AM:$AM)/($AA160+SUMIF('Plant BD'!$B:$B,$A160,'Plant BD'!$AM:$AM)),"")</f>
        <v/>
      </c>
      <c r="P160" s="105"/>
      <c r="Q160" s="106"/>
      <c r="R160" s="105" t="str">
        <f>IFERROR(1-SUMIF('Grid BD'!$B:$B,$A160,'Grid BD'!$AE:$AE)/($AA160+SUMIF('Grid BD'!$B:$B,$A160,'Grid BD'!$AE:$AE)),"")</f>
        <v/>
      </c>
      <c r="T160" s="106"/>
      <c r="U160" s="107" t="str">
        <f t="shared" si="9"/>
        <v/>
      </c>
      <c r="V160" s="107"/>
      <c r="W160" s="108" t="str">
        <f t="shared" si="10"/>
        <v/>
      </c>
      <c r="X160" s="101">
        <f>IFERROR(_xlfn.XLOOKUP($A160,'Raw Data'!$G:$G,'Raw Data'!AI:AI),"")</f>
        <v>0</v>
      </c>
      <c r="Y160" s="101">
        <f>IFERROR(_xlfn.XLOOKUP($A160,'Raw Data'!$G:$G,'Raw Data'!AJ:AJ),"")</f>
        <v>0</v>
      </c>
      <c r="Z160" s="101">
        <f>IFERROR(_xlfn.XLOOKUP($A160,'Raw Data'!$G:$G,'Raw Data'!AK:AK),"")</f>
        <v>0</v>
      </c>
      <c r="AA160" s="101" t="str">
        <f>IFERROR(_xlfn.XLOOKUP($A160,'Raw Data'!$G:$G,'Raw Data'!$AL:$AL)*(1+(_xlfn.XLOOKUP(Table13[[#This Row],[Month Year]],JMR!$A:$A,JMR!$J:$J))),"")</f>
        <v/>
      </c>
      <c r="AB160" s="101">
        <f>IFERROR(_xlfn.XLOOKUP($A160,'Raw Data'!$G:$G,'Raw Data'!H:H),"")</f>
        <v>8.0208999999999993</v>
      </c>
      <c r="AC160" s="67">
        <f>IFERROR(_xlfn.XLOOKUP($D160,'Modelling New'!$D:$D,'Modelling New'!P:P),"")</f>
        <v>4.8466666666666667</v>
      </c>
      <c r="AD160" s="101">
        <f>IFERROR(_xlfn.XLOOKUP($D160,'Modelling New'!$D:$D,'Modelling New'!$T:$T)*1000,"")</f>
        <v>27099.030800071054</v>
      </c>
      <c r="AE160" s="109">
        <f>IFERROR(_xlfn.XLOOKUP($D160,'Modelling New'!$D:$D,'Modelling New'!O:O),"")</f>
        <v>0.69708783670793795</v>
      </c>
      <c r="AF160" s="108">
        <f>IFERROR(_xlfn.XLOOKUP($D160,'Modelling New'!$D:$D,'Modelling New'!W:W),"")</f>
        <v>0.14077301591296412</v>
      </c>
      <c r="AG160" s="108">
        <f>IFERROR(_xlfn.XLOOKUP($D160,'Modelling New'!$D:$D,'Modelling New'!AE:AE),"")</f>
        <v>0.98040000000000005</v>
      </c>
      <c r="AH160" s="128">
        <f>IFERROR(_xlfn.XLOOKUP($D160,'Modelling New'!$D:$D,'Modelling New'!AF:AF),"")</f>
        <v>0.98</v>
      </c>
      <c r="AN160" s="105"/>
      <c r="AO160" s="108"/>
      <c r="AP160" s="108"/>
      <c r="AQ160" s="108"/>
      <c r="AR160" s="101">
        <f>'Basic Data'!$B$98/1000</f>
        <v>8.0208999999999993</v>
      </c>
      <c r="AT160" s="7">
        <f>IFERROR(_xlfn.XLOOKUP(Table13[[#This Row],[Date]],'Raw Data'!$G:$G,'Raw Data'!$AN:$AN),"")</f>
        <v>0</v>
      </c>
      <c r="AU160" s="7">
        <f>IFERROR(_xlfn.XLOOKUP(Table13[[#This Row],[Month Year]],'Modelling New'!$D:$D,'Modelling New'!$AO:$AO),"")</f>
        <v>8</v>
      </c>
      <c r="AV160" s="7">
        <f>SUMIF('Curtailment Records'!$C:$C,Table13[[#This Row],[Date]],'Curtailment Records'!$R:$R)/1000</f>
        <v>0</v>
      </c>
    </row>
    <row r="161" spans="1:48" x14ac:dyDescent="0.3">
      <c r="A161" s="100">
        <f t="shared" si="11"/>
        <v>45904</v>
      </c>
      <c r="B161" s="101">
        <f>YEAR(Table13[[#This Row],[Date]])+IF(MONTH(Table13[[#This Row],[Date]])&gt;=4,1,0)</f>
        <v>2026</v>
      </c>
      <c r="C161" s="7">
        <f>YEAR(Table13[[#This Row],[Date]])</f>
        <v>2025</v>
      </c>
      <c r="D161" s="102">
        <f>Table13[[#This Row],[Date]]-DAY(Table13[[#This Row],[Date]])+1</f>
        <v>45901</v>
      </c>
      <c r="E161" s="7">
        <f t="shared" si="8"/>
        <v>30</v>
      </c>
      <c r="F161" s="103">
        <f>IFERROR(_xlfn.XLOOKUP($A161,'Raw Data'!$G:$G,'Raw Data'!$AM:$AM),"")</f>
        <v>0</v>
      </c>
      <c r="G161" s="104">
        <f>IFERROR(_xlfn.XLOOKUP($A161,'Raw Data'!$G:$G,'Raw Data'!$AB:$AB),"")</f>
        <v>0</v>
      </c>
      <c r="H161" s="104"/>
      <c r="I161" s="104">
        <f>IFERROR(_xlfn.XLOOKUP($A161,'Raw Data'!$G:$G,'Raw Data'!$AC:$AC),"")</f>
        <v>0</v>
      </c>
      <c r="J161" s="104"/>
      <c r="K161" s="104">
        <f>IFERROR(_xlfn.XLOOKUP($A161,'Raw Data'!$G:$G,'Raw Data'!AD:AD),"")</f>
        <v>0</v>
      </c>
      <c r="L161" s="104">
        <f>IFERROR(_xlfn.XLOOKUP($A161,'Raw Data'!$G:$G,'Raw Data'!AE:AE),"")</f>
        <v>0</v>
      </c>
      <c r="M161" s="104">
        <f>IFERROR(_xlfn.XLOOKUP($A161,'Raw Data'!$G:$G,'Raw Data'!AF:AF),"")</f>
        <v>0</v>
      </c>
      <c r="N161" s="104">
        <f>IFERROR(_xlfn.XLOOKUP($A161,'Raw Data'!$G:$G,'Raw Data'!AG:AG),"")</f>
        <v>0</v>
      </c>
      <c r="O161" s="105" t="str">
        <f>IFERROR(1-SUMIF('Plant BD'!$B:$B,$A161,'Plant BD'!$AM:$AM)/($AA161+SUMIF('Plant BD'!$B:$B,$A161,'Plant BD'!$AM:$AM)),"")</f>
        <v/>
      </c>
      <c r="P161" s="105"/>
      <c r="Q161" s="106"/>
      <c r="R161" s="105" t="str">
        <f>IFERROR(1-SUMIF('Grid BD'!$B:$B,$A161,'Grid BD'!$AE:$AE)/($AA161+SUMIF('Grid BD'!$B:$B,$A161,'Grid BD'!$AE:$AE)),"")</f>
        <v/>
      </c>
      <c r="T161" s="106"/>
      <c r="U161" s="107" t="str">
        <f t="shared" si="9"/>
        <v/>
      </c>
      <c r="V161" s="107"/>
      <c r="W161" s="108" t="str">
        <f t="shared" si="10"/>
        <v/>
      </c>
      <c r="X161" s="101">
        <f>IFERROR(_xlfn.XLOOKUP($A161,'Raw Data'!$G:$G,'Raw Data'!AI:AI),"")</f>
        <v>0</v>
      </c>
      <c r="Y161" s="101">
        <f>IFERROR(_xlfn.XLOOKUP($A161,'Raw Data'!$G:$G,'Raw Data'!AJ:AJ),"")</f>
        <v>0</v>
      </c>
      <c r="Z161" s="101">
        <f>IFERROR(_xlfn.XLOOKUP($A161,'Raw Data'!$G:$G,'Raw Data'!AK:AK),"")</f>
        <v>0</v>
      </c>
      <c r="AA161" s="101" t="str">
        <f>IFERROR(_xlfn.XLOOKUP($A161,'Raw Data'!$G:$G,'Raw Data'!$AL:$AL)*(1+(_xlfn.XLOOKUP(Table13[[#This Row],[Month Year]],JMR!$A:$A,JMR!$J:$J))),"")</f>
        <v/>
      </c>
      <c r="AB161" s="101">
        <f>IFERROR(_xlfn.XLOOKUP($A161,'Raw Data'!$G:$G,'Raw Data'!H:H),"")</f>
        <v>8.0208999999999993</v>
      </c>
      <c r="AC161" s="67">
        <f>IFERROR(_xlfn.XLOOKUP($D161,'Modelling New'!$D:$D,'Modelling New'!P:P),"")</f>
        <v>4.8466666666666667</v>
      </c>
      <c r="AD161" s="101">
        <f>IFERROR(_xlfn.XLOOKUP($D161,'Modelling New'!$D:$D,'Modelling New'!$T:$T)*1000,"")</f>
        <v>27099.030800071054</v>
      </c>
      <c r="AE161" s="109">
        <f>IFERROR(_xlfn.XLOOKUP($D161,'Modelling New'!$D:$D,'Modelling New'!O:O),"")</f>
        <v>0.69708783670793795</v>
      </c>
      <c r="AF161" s="108">
        <f>IFERROR(_xlfn.XLOOKUP($D161,'Modelling New'!$D:$D,'Modelling New'!W:W),"")</f>
        <v>0.14077301591296412</v>
      </c>
      <c r="AG161" s="108">
        <f>IFERROR(_xlfn.XLOOKUP($D161,'Modelling New'!$D:$D,'Modelling New'!AE:AE),"")</f>
        <v>0.98040000000000005</v>
      </c>
      <c r="AH161" s="128">
        <f>IFERROR(_xlfn.XLOOKUP($D161,'Modelling New'!$D:$D,'Modelling New'!AF:AF),"")</f>
        <v>0.98</v>
      </c>
      <c r="AN161" s="105"/>
      <c r="AO161" s="108"/>
      <c r="AP161" s="108"/>
      <c r="AQ161" s="108"/>
      <c r="AR161" s="101">
        <f>'Basic Data'!$B$98/1000</f>
        <v>8.0208999999999993</v>
      </c>
      <c r="AT161" s="7">
        <f>IFERROR(_xlfn.XLOOKUP(Table13[[#This Row],[Date]],'Raw Data'!$G:$G,'Raw Data'!$AN:$AN),"")</f>
        <v>0</v>
      </c>
      <c r="AU161" s="7">
        <f>IFERROR(_xlfn.XLOOKUP(Table13[[#This Row],[Month Year]],'Modelling New'!$D:$D,'Modelling New'!$AO:$AO),"")</f>
        <v>8</v>
      </c>
      <c r="AV161" s="7">
        <f>SUMIF('Curtailment Records'!$C:$C,Table13[[#This Row],[Date]],'Curtailment Records'!$R:$R)/1000</f>
        <v>0</v>
      </c>
    </row>
    <row r="162" spans="1:48" x14ac:dyDescent="0.3">
      <c r="A162" s="100">
        <f t="shared" si="11"/>
        <v>45905</v>
      </c>
      <c r="B162" s="101">
        <f>YEAR(Table13[[#This Row],[Date]])+IF(MONTH(Table13[[#This Row],[Date]])&gt;=4,1,0)</f>
        <v>2026</v>
      </c>
      <c r="C162" s="7">
        <f>YEAR(Table13[[#This Row],[Date]])</f>
        <v>2025</v>
      </c>
      <c r="D162" s="102">
        <f>Table13[[#This Row],[Date]]-DAY(Table13[[#This Row],[Date]])+1</f>
        <v>45901</v>
      </c>
      <c r="E162" s="7">
        <f t="shared" si="8"/>
        <v>30</v>
      </c>
      <c r="F162" s="103">
        <f>IFERROR(_xlfn.XLOOKUP($A162,'Raw Data'!$G:$G,'Raw Data'!$AM:$AM),"")</f>
        <v>0</v>
      </c>
      <c r="G162" s="104">
        <f>IFERROR(_xlfn.XLOOKUP($A162,'Raw Data'!$G:$G,'Raw Data'!$AB:$AB),"")</f>
        <v>0</v>
      </c>
      <c r="H162" s="104"/>
      <c r="I162" s="104">
        <f>IFERROR(_xlfn.XLOOKUP($A162,'Raw Data'!$G:$G,'Raw Data'!$AC:$AC),"")</f>
        <v>0</v>
      </c>
      <c r="J162" s="104"/>
      <c r="K162" s="104">
        <f>IFERROR(_xlfn.XLOOKUP($A162,'Raw Data'!$G:$G,'Raw Data'!AD:AD),"")</f>
        <v>0</v>
      </c>
      <c r="L162" s="104">
        <f>IFERROR(_xlfn.XLOOKUP($A162,'Raw Data'!$G:$G,'Raw Data'!AE:AE),"")</f>
        <v>0</v>
      </c>
      <c r="M162" s="104">
        <f>IFERROR(_xlfn.XLOOKUP($A162,'Raw Data'!$G:$G,'Raw Data'!AF:AF),"")</f>
        <v>0</v>
      </c>
      <c r="N162" s="104">
        <f>IFERROR(_xlfn.XLOOKUP($A162,'Raw Data'!$G:$G,'Raw Data'!AG:AG),"")</f>
        <v>0</v>
      </c>
      <c r="O162" s="105" t="str">
        <f>IFERROR(1-SUMIF('Plant BD'!$B:$B,$A162,'Plant BD'!$AM:$AM)/($AA162+SUMIF('Plant BD'!$B:$B,$A162,'Plant BD'!$AM:$AM)),"")</f>
        <v/>
      </c>
      <c r="P162" s="105"/>
      <c r="Q162" s="106"/>
      <c r="R162" s="105" t="str">
        <f>IFERROR(1-SUMIF('Grid BD'!$B:$B,$A162,'Grid BD'!$AE:$AE)/($AA162+SUMIF('Grid BD'!$B:$B,$A162,'Grid BD'!$AE:$AE)),"")</f>
        <v/>
      </c>
      <c r="T162" s="106"/>
      <c r="U162" s="107" t="str">
        <f t="shared" si="9"/>
        <v/>
      </c>
      <c r="V162" s="107"/>
      <c r="W162" s="108" t="str">
        <f t="shared" si="10"/>
        <v/>
      </c>
      <c r="X162" s="101">
        <f>IFERROR(_xlfn.XLOOKUP($A162,'Raw Data'!$G:$G,'Raw Data'!AI:AI),"")</f>
        <v>0</v>
      </c>
      <c r="Y162" s="101">
        <f>IFERROR(_xlfn.XLOOKUP($A162,'Raw Data'!$G:$G,'Raw Data'!AJ:AJ),"")</f>
        <v>0</v>
      </c>
      <c r="Z162" s="101">
        <f>IFERROR(_xlfn.XLOOKUP($A162,'Raw Data'!$G:$G,'Raw Data'!AK:AK),"")</f>
        <v>0</v>
      </c>
      <c r="AA162" s="101" t="str">
        <f>IFERROR(_xlfn.XLOOKUP($A162,'Raw Data'!$G:$G,'Raw Data'!$AL:$AL)*(1+(_xlfn.XLOOKUP(Table13[[#This Row],[Month Year]],JMR!$A:$A,JMR!$J:$J))),"")</f>
        <v/>
      </c>
      <c r="AB162" s="101">
        <f>IFERROR(_xlfn.XLOOKUP($A162,'Raw Data'!$G:$G,'Raw Data'!H:H),"")</f>
        <v>8.0208999999999993</v>
      </c>
      <c r="AC162" s="67">
        <f>IFERROR(_xlfn.XLOOKUP($D162,'Modelling New'!$D:$D,'Modelling New'!P:P),"")</f>
        <v>4.8466666666666667</v>
      </c>
      <c r="AD162" s="101">
        <f>IFERROR(_xlfn.XLOOKUP($D162,'Modelling New'!$D:$D,'Modelling New'!$T:$T)*1000,"")</f>
        <v>27099.030800071054</v>
      </c>
      <c r="AE162" s="109">
        <f>IFERROR(_xlfn.XLOOKUP($D162,'Modelling New'!$D:$D,'Modelling New'!O:O),"")</f>
        <v>0.69708783670793795</v>
      </c>
      <c r="AF162" s="108">
        <f>IFERROR(_xlfn.XLOOKUP($D162,'Modelling New'!$D:$D,'Modelling New'!W:W),"")</f>
        <v>0.14077301591296412</v>
      </c>
      <c r="AG162" s="108">
        <f>IFERROR(_xlfn.XLOOKUP($D162,'Modelling New'!$D:$D,'Modelling New'!AE:AE),"")</f>
        <v>0.98040000000000005</v>
      </c>
      <c r="AH162" s="128">
        <f>IFERROR(_xlfn.XLOOKUP($D162,'Modelling New'!$D:$D,'Modelling New'!AF:AF),"")</f>
        <v>0.98</v>
      </c>
      <c r="AN162" s="105"/>
      <c r="AO162" s="108"/>
      <c r="AP162" s="108"/>
      <c r="AQ162" s="108"/>
      <c r="AR162" s="101">
        <f>'Basic Data'!$B$98/1000</f>
        <v>8.0208999999999993</v>
      </c>
      <c r="AT162" s="7">
        <f>IFERROR(_xlfn.XLOOKUP(Table13[[#This Row],[Date]],'Raw Data'!$G:$G,'Raw Data'!$AN:$AN),"")</f>
        <v>0</v>
      </c>
      <c r="AU162" s="7">
        <f>IFERROR(_xlfn.XLOOKUP(Table13[[#This Row],[Month Year]],'Modelling New'!$D:$D,'Modelling New'!$AO:$AO),"")</f>
        <v>8</v>
      </c>
      <c r="AV162" s="7">
        <f>SUMIF('Curtailment Records'!$C:$C,Table13[[#This Row],[Date]],'Curtailment Records'!$R:$R)/1000</f>
        <v>0</v>
      </c>
    </row>
    <row r="163" spans="1:48" x14ac:dyDescent="0.3">
      <c r="A163" s="100">
        <f t="shared" si="11"/>
        <v>45906</v>
      </c>
      <c r="B163" s="101">
        <f>YEAR(Table13[[#This Row],[Date]])+IF(MONTH(Table13[[#This Row],[Date]])&gt;=4,1,0)</f>
        <v>2026</v>
      </c>
      <c r="C163" s="7">
        <f>YEAR(Table13[[#This Row],[Date]])</f>
        <v>2025</v>
      </c>
      <c r="D163" s="102">
        <f>Table13[[#This Row],[Date]]-DAY(Table13[[#This Row],[Date]])+1</f>
        <v>45901</v>
      </c>
      <c r="E163" s="7">
        <f t="shared" si="8"/>
        <v>30</v>
      </c>
      <c r="F163" s="103">
        <f>IFERROR(_xlfn.XLOOKUP($A163,'Raw Data'!$G:$G,'Raw Data'!$AM:$AM),"")</f>
        <v>0</v>
      </c>
      <c r="G163" s="104">
        <f>IFERROR(_xlfn.XLOOKUP($A163,'Raw Data'!$G:$G,'Raw Data'!$AB:$AB),"")</f>
        <v>0</v>
      </c>
      <c r="H163" s="104"/>
      <c r="I163" s="104">
        <f>IFERROR(_xlfn.XLOOKUP($A163,'Raw Data'!$G:$G,'Raw Data'!$AC:$AC),"")</f>
        <v>0</v>
      </c>
      <c r="J163" s="104"/>
      <c r="K163" s="104">
        <f>IFERROR(_xlfn.XLOOKUP($A163,'Raw Data'!$G:$G,'Raw Data'!AD:AD),"")</f>
        <v>0</v>
      </c>
      <c r="L163" s="104">
        <f>IFERROR(_xlfn.XLOOKUP($A163,'Raw Data'!$G:$G,'Raw Data'!AE:AE),"")</f>
        <v>0</v>
      </c>
      <c r="M163" s="104">
        <f>IFERROR(_xlfn.XLOOKUP($A163,'Raw Data'!$G:$G,'Raw Data'!AF:AF),"")</f>
        <v>0</v>
      </c>
      <c r="N163" s="104">
        <f>IFERROR(_xlfn.XLOOKUP($A163,'Raw Data'!$G:$G,'Raw Data'!AG:AG),"")</f>
        <v>0</v>
      </c>
      <c r="O163" s="105" t="str">
        <f>IFERROR(1-SUMIF('Plant BD'!$B:$B,$A163,'Plant BD'!$AM:$AM)/($AA163+SUMIF('Plant BD'!$B:$B,$A163,'Plant BD'!$AM:$AM)),"")</f>
        <v/>
      </c>
      <c r="P163" s="105"/>
      <c r="Q163" s="106"/>
      <c r="R163" s="105" t="str">
        <f>IFERROR(1-SUMIF('Grid BD'!$B:$B,$A163,'Grid BD'!$AE:$AE)/($AA163+SUMIF('Grid BD'!$B:$B,$A163,'Grid BD'!$AE:$AE)),"")</f>
        <v/>
      </c>
      <c r="T163" s="106"/>
      <c r="U163" s="107" t="str">
        <f t="shared" si="9"/>
        <v/>
      </c>
      <c r="V163" s="107"/>
      <c r="W163" s="108" t="str">
        <f t="shared" si="10"/>
        <v/>
      </c>
      <c r="X163" s="101">
        <f>IFERROR(_xlfn.XLOOKUP($A163,'Raw Data'!$G:$G,'Raw Data'!AI:AI),"")</f>
        <v>0</v>
      </c>
      <c r="Y163" s="101">
        <f>IFERROR(_xlfn.XLOOKUP($A163,'Raw Data'!$G:$G,'Raw Data'!AJ:AJ),"")</f>
        <v>0</v>
      </c>
      <c r="Z163" s="101">
        <f>IFERROR(_xlfn.XLOOKUP($A163,'Raw Data'!$G:$G,'Raw Data'!AK:AK),"")</f>
        <v>0</v>
      </c>
      <c r="AA163" s="101" t="str">
        <f>IFERROR(_xlfn.XLOOKUP($A163,'Raw Data'!$G:$G,'Raw Data'!$AL:$AL)*(1+(_xlfn.XLOOKUP(Table13[[#This Row],[Month Year]],JMR!$A:$A,JMR!$J:$J))),"")</f>
        <v/>
      </c>
      <c r="AB163" s="101">
        <f>IFERROR(_xlfn.XLOOKUP($A163,'Raw Data'!$G:$G,'Raw Data'!H:H),"")</f>
        <v>8.0208999999999993</v>
      </c>
      <c r="AC163" s="67">
        <f>IFERROR(_xlfn.XLOOKUP($D163,'Modelling New'!$D:$D,'Modelling New'!P:P),"")</f>
        <v>4.8466666666666667</v>
      </c>
      <c r="AD163" s="101">
        <f>IFERROR(_xlfn.XLOOKUP($D163,'Modelling New'!$D:$D,'Modelling New'!$T:$T)*1000,"")</f>
        <v>27099.030800071054</v>
      </c>
      <c r="AE163" s="109">
        <f>IFERROR(_xlfn.XLOOKUP($D163,'Modelling New'!$D:$D,'Modelling New'!O:O),"")</f>
        <v>0.69708783670793795</v>
      </c>
      <c r="AF163" s="108">
        <f>IFERROR(_xlfn.XLOOKUP($D163,'Modelling New'!$D:$D,'Modelling New'!W:W),"")</f>
        <v>0.14077301591296412</v>
      </c>
      <c r="AG163" s="108">
        <f>IFERROR(_xlfn.XLOOKUP($D163,'Modelling New'!$D:$D,'Modelling New'!AE:AE),"")</f>
        <v>0.98040000000000005</v>
      </c>
      <c r="AH163" s="128">
        <f>IFERROR(_xlfn.XLOOKUP($D163,'Modelling New'!$D:$D,'Modelling New'!AF:AF),"")</f>
        <v>0.98</v>
      </c>
      <c r="AN163" s="105"/>
      <c r="AO163" s="108"/>
      <c r="AP163" s="108"/>
      <c r="AQ163" s="108"/>
      <c r="AR163" s="101">
        <f>'Basic Data'!$B$98/1000</f>
        <v>8.0208999999999993</v>
      </c>
      <c r="AT163" s="7">
        <f>IFERROR(_xlfn.XLOOKUP(Table13[[#This Row],[Date]],'Raw Data'!$G:$G,'Raw Data'!$AN:$AN),"")</f>
        <v>0</v>
      </c>
      <c r="AU163" s="7">
        <f>IFERROR(_xlfn.XLOOKUP(Table13[[#This Row],[Month Year]],'Modelling New'!$D:$D,'Modelling New'!$AO:$AO),"")</f>
        <v>8</v>
      </c>
      <c r="AV163" s="7">
        <f>SUMIF('Curtailment Records'!$C:$C,Table13[[#This Row],[Date]],'Curtailment Records'!$R:$R)/1000</f>
        <v>0</v>
      </c>
    </row>
    <row r="164" spans="1:48" x14ac:dyDescent="0.3">
      <c r="A164" s="100">
        <f t="shared" si="11"/>
        <v>45907</v>
      </c>
      <c r="B164" s="101">
        <f>YEAR(Table13[[#This Row],[Date]])+IF(MONTH(Table13[[#This Row],[Date]])&gt;=4,1,0)</f>
        <v>2026</v>
      </c>
      <c r="C164" s="7">
        <f>YEAR(Table13[[#This Row],[Date]])</f>
        <v>2025</v>
      </c>
      <c r="D164" s="102">
        <f>Table13[[#This Row],[Date]]-DAY(Table13[[#This Row],[Date]])+1</f>
        <v>45901</v>
      </c>
      <c r="E164" s="7">
        <f t="shared" si="8"/>
        <v>30</v>
      </c>
      <c r="F164" s="103" t="str">
        <f>IFERROR(_xlfn.XLOOKUP($A164,'Raw Data'!$G:$G,'Raw Data'!$AM:$AM),"")</f>
        <v/>
      </c>
      <c r="G164" s="104" t="str">
        <f>IFERROR(_xlfn.XLOOKUP($A164,'Raw Data'!$G:$G,'Raw Data'!$AB:$AB),"")</f>
        <v/>
      </c>
      <c r="H164" s="104"/>
      <c r="I164" s="104" t="str">
        <f>IFERROR(_xlfn.XLOOKUP($A164,'Raw Data'!$G:$G,'Raw Data'!$AC:$AC),"")</f>
        <v/>
      </c>
      <c r="J164" s="104"/>
      <c r="K164" s="104" t="str">
        <f>IFERROR(_xlfn.XLOOKUP($A164,'Raw Data'!$G:$G,'Raw Data'!AD:AD),"")</f>
        <v/>
      </c>
      <c r="L164" s="104" t="str">
        <f>IFERROR(_xlfn.XLOOKUP($A164,'Raw Data'!$G:$G,'Raw Data'!AE:AE),"")</f>
        <v/>
      </c>
      <c r="M164" s="104" t="str">
        <f>IFERROR(_xlfn.XLOOKUP($A164,'Raw Data'!$G:$G,'Raw Data'!AF:AF),"")</f>
        <v/>
      </c>
      <c r="N164" s="104" t="str">
        <f>IFERROR(_xlfn.XLOOKUP($A164,'Raw Data'!$G:$G,'Raw Data'!AG:AG),"")</f>
        <v/>
      </c>
      <c r="O164" s="105" t="str">
        <f>IFERROR(1-SUMIF('Plant BD'!$B:$B,$A164,'Plant BD'!$AM:$AM)/($AA164+SUMIF('Plant BD'!$B:$B,$A164,'Plant BD'!$AM:$AM)),"")</f>
        <v/>
      </c>
      <c r="P164" s="105"/>
      <c r="Q164" s="106"/>
      <c r="R164" s="105" t="str">
        <f>IFERROR(1-SUMIF('Grid BD'!$B:$B,$A164,'Grid BD'!$AE:$AE)/($AA164+SUMIF('Grid BD'!$B:$B,$A164,'Grid BD'!$AE:$AE)),"")</f>
        <v/>
      </c>
      <c r="T164" s="106"/>
      <c r="U164" s="107" t="str">
        <f t="shared" si="9"/>
        <v/>
      </c>
      <c r="V164" s="107"/>
      <c r="W164" s="108" t="str">
        <f t="shared" si="10"/>
        <v/>
      </c>
      <c r="X164" s="101" t="str">
        <f>IFERROR(_xlfn.XLOOKUP($A164,'Raw Data'!$G:$G,'Raw Data'!AI:AI),"")</f>
        <v/>
      </c>
      <c r="Y164" s="101" t="str">
        <f>IFERROR(_xlfn.XLOOKUP($A164,'Raw Data'!$G:$G,'Raw Data'!AJ:AJ),"")</f>
        <v/>
      </c>
      <c r="Z164" s="101" t="str">
        <f>IFERROR(_xlfn.XLOOKUP($A164,'Raw Data'!$G:$G,'Raw Data'!AK:AK),"")</f>
        <v/>
      </c>
      <c r="AA164" s="101" t="str">
        <f>IFERROR(_xlfn.XLOOKUP($A164,'Raw Data'!$G:$G,'Raw Data'!$AL:$AL)*(1+(_xlfn.XLOOKUP(Table13[[#This Row],[Month Year]],JMR!$A:$A,JMR!$J:$J))),"")</f>
        <v/>
      </c>
      <c r="AB164" s="101" t="str">
        <f>IFERROR(_xlfn.XLOOKUP($A164,'Raw Data'!$G:$G,'Raw Data'!H:H),"")</f>
        <v/>
      </c>
      <c r="AC164" s="67">
        <f>IFERROR(_xlfn.XLOOKUP($D164,'Modelling New'!$D:$D,'Modelling New'!P:P),"")</f>
        <v>4.8466666666666667</v>
      </c>
      <c r="AD164" s="101">
        <f>IFERROR(_xlfn.XLOOKUP($D164,'Modelling New'!$D:$D,'Modelling New'!$T:$T)*1000,"")</f>
        <v>27099.030800071054</v>
      </c>
      <c r="AE164" s="109">
        <f>IFERROR(_xlfn.XLOOKUP($D164,'Modelling New'!$D:$D,'Modelling New'!O:O),"")</f>
        <v>0.69708783670793795</v>
      </c>
      <c r="AF164" s="108">
        <f>IFERROR(_xlfn.XLOOKUP($D164,'Modelling New'!$D:$D,'Modelling New'!W:W),"")</f>
        <v>0.14077301591296412</v>
      </c>
      <c r="AG164" s="108">
        <f>IFERROR(_xlfn.XLOOKUP($D164,'Modelling New'!$D:$D,'Modelling New'!AE:AE),"")</f>
        <v>0.98040000000000005</v>
      </c>
      <c r="AH164" s="128">
        <f>IFERROR(_xlfn.XLOOKUP($D164,'Modelling New'!$D:$D,'Modelling New'!AF:AF),"")</f>
        <v>0.98</v>
      </c>
      <c r="AN164" s="105"/>
      <c r="AO164" s="108"/>
      <c r="AP164" s="108"/>
      <c r="AQ164" s="108"/>
      <c r="AR164" s="101">
        <f>'Basic Data'!$B$98/1000</f>
        <v>8.0208999999999993</v>
      </c>
      <c r="AT164" s="7" t="str">
        <f>IFERROR(_xlfn.XLOOKUP(Table13[[#This Row],[Date]],'Raw Data'!$G:$G,'Raw Data'!$AN:$AN),"")</f>
        <v/>
      </c>
      <c r="AU164" s="7">
        <f>IFERROR(_xlfn.XLOOKUP(Table13[[#This Row],[Month Year]],'Modelling New'!$D:$D,'Modelling New'!$AO:$AO),"")</f>
        <v>8</v>
      </c>
      <c r="AV164" s="7">
        <f>SUMIF('Curtailment Records'!$C:$C,Table13[[#This Row],[Date]],'Curtailment Records'!$R:$R)/1000</f>
        <v>0</v>
      </c>
    </row>
    <row r="165" spans="1:48" x14ac:dyDescent="0.3">
      <c r="A165" s="100">
        <f t="shared" si="11"/>
        <v>45908</v>
      </c>
      <c r="B165" s="101">
        <f>YEAR(Table13[[#This Row],[Date]])+IF(MONTH(Table13[[#This Row],[Date]])&gt;=4,1,0)</f>
        <v>2026</v>
      </c>
      <c r="C165" s="7">
        <f>YEAR(Table13[[#This Row],[Date]])</f>
        <v>2025</v>
      </c>
      <c r="D165" s="102">
        <f>Table13[[#This Row],[Date]]-DAY(Table13[[#This Row],[Date]])+1</f>
        <v>45901</v>
      </c>
      <c r="E165" s="7">
        <f t="shared" si="8"/>
        <v>30</v>
      </c>
      <c r="F165" s="103" t="str">
        <f>IFERROR(_xlfn.XLOOKUP($A165,'Raw Data'!$G:$G,'Raw Data'!$AM:$AM),"")</f>
        <v/>
      </c>
      <c r="G165" s="104" t="str">
        <f>IFERROR(_xlfn.XLOOKUP($A165,'Raw Data'!$G:$G,'Raw Data'!$AB:$AB),"")</f>
        <v/>
      </c>
      <c r="H165" s="104"/>
      <c r="I165" s="104" t="str">
        <f>IFERROR(_xlfn.XLOOKUP($A165,'Raw Data'!$G:$G,'Raw Data'!$AC:$AC),"")</f>
        <v/>
      </c>
      <c r="J165" s="104"/>
      <c r="K165" s="104" t="str">
        <f>IFERROR(_xlfn.XLOOKUP($A165,'Raw Data'!$G:$G,'Raw Data'!AD:AD),"")</f>
        <v/>
      </c>
      <c r="L165" s="104" t="str">
        <f>IFERROR(_xlfn.XLOOKUP($A165,'Raw Data'!$G:$G,'Raw Data'!AE:AE),"")</f>
        <v/>
      </c>
      <c r="M165" s="104" t="str">
        <f>IFERROR(_xlfn.XLOOKUP($A165,'Raw Data'!$G:$G,'Raw Data'!AF:AF),"")</f>
        <v/>
      </c>
      <c r="N165" s="104" t="str">
        <f>IFERROR(_xlfn.XLOOKUP($A165,'Raw Data'!$G:$G,'Raw Data'!AG:AG),"")</f>
        <v/>
      </c>
      <c r="O165" s="105" t="str">
        <f>IFERROR(1-SUMIF('Plant BD'!$B:$B,$A165,'Plant BD'!$AM:$AM)/($AA165+SUMIF('Plant BD'!$B:$B,$A165,'Plant BD'!$AM:$AM)),"")</f>
        <v/>
      </c>
      <c r="P165" s="105"/>
      <c r="Q165" s="106"/>
      <c r="R165" s="105" t="str">
        <f>IFERROR(1-SUMIF('Grid BD'!$B:$B,$A165,'Grid BD'!$AE:$AE)/($AA165+SUMIF('Grid BD'!$B:$B,$A165,'Grid BD'!$AE:$AE)),"")</f>
        <v/>
      </c>
      <c r="T165" s="106"/>
      <c r="U165" s="107" t="str">
        <f t="shared" si="9"/>
        <v/>
      </c>
      <c r="V165" s="107"/>
      <c r="W165" s="108" t="str">
        <f t="shared" si="10"/>
        <v/>
      </c>
      <c r="X165" s="101" t="str">
        <f>IFERROR(_xlfn.XLOOKUP($A165,'Raw Data'!$G:$G,'Raw Data'!AI:AI),"")</f>
        <v/>
      </c>
      <c r="Y165" s="101" t="str">
        <f>IFERROR(_xlfn.XLOOKUP($A165,'Raw Data'!$G:$G,'Raw Data'!AJ:AJ),"")</f>
        <v/>
      </c>
      <c r="Z165" s="101" t="str">
        <f>IFERROR(_xlfn.XLOOKUP($A165,'Raw Data'!$G:$G,'Raw Data'!AK:AK),"")</f>
        <v/>
      </c>
      <c r="AA165" s="101" t="str">
        <f>IFERROR(_xlfn.XLOOKUP($A165,'Raw Data'!$G:$G,'Raw Data'!$AL:$AL)*(1+(_xlfn.XLOOKUP(Table13[[#This Row],[Month Year]],JMR!$A:$A,JMR!$J:$J))),"")</f>
        <v/>
      </c>
      <c r="AB165" s="101" t="str">
        <f>IFERROR(_xlfn.XLOOKUP($A165,'Raw Data'!$G:$G,'Raw Data'!H:H),"")</f>
        <v/>
      </c>
      <c r="AC165" s="67">
        <f>IFERROR(_xlfn.XLOOKUP($D165,'Modelling New'!$D:$D,'Modelling New'!P:P),"")</f>
        <v>4.8466666666666667</v>
      </c>
      <c r="AD165" s="101">
        <f>IFERROR(_xlfn.XLOOKUP($D165,'Modelling New'!$D:$D,'Modelling New'!$T:$T)*1000,"")</f>
        <v>27099.030800071054</v>
      </c>
      <c r="AE165" s="109">
        <f>IFERROR(_xlfn.XLOOKUP($D165,'Modelling New'!$D:$D,'Modelling New'!O:O),"")</f>
        <v>0.69708783670793795</v>
      </c>
      <c r="AF165" s="108">
        <f>IFERROR(_xlfn.XLOOKUP($D165,'Modelling New'!$D:$D,'Modelling New'!W:W),"")</f>
        <v>0.14077301591296412</v>
      </c>
      <c r="AG165" s="108">
        <f>IFERROR(_xlfn.XLOOKUP($D165,'Modelling New'!$D:$D,'Modelling New'!AE:AE),"")</f>
        <v>0.98040000000000005</v>
      </c>
      <c r="AH165" s="128">
        <f>IFERROR(_xlfn.XLOOKUP($D165,'Modelling New'!$D:$D,'Modelling New'!AF:AF),"")</f>
        <v>0.98</v>
      </c>
      <c r="AN165" s="105"/>
      <c r="AO165" s="108"/>
      <c r="AP165" s="108"/>
      <c r="AQ165" s="108"/>
      <c r="AR165" s="101">
        <f>'Basic Data'!$B$98/1000</f>
        <v>8.0208999999999993</v>
      </c>
      <c r="AT165" s="7" t="str">
        <f>IFERROR(_xlfn.XLOOKUP(Table13[[#This Row],[Date]],'Raw Data'!$G:$G,'Raw Data'!$AN:$AN),"")</f>
        <v/>
      </c>
      <c r="AU165" s="7">
        <f>IFERROR(_xlfn.XLOOKUP(Table13[[#This Row],[Month Year]],'Modelling New'!$D:$D,'Modelling New'!$AO:$AO),"")</f>
        <v>8</v>
      </c>
      <c r="AV165" s="7">
        <f>SUMIF('Curtailment Records'!$C:$C,Table13[[#This Row],[Date]],'Curtailment Records'!$R:$R)/1000</f>
        <v>0</v>
      </c>
    </row>
    <row r="166" spans="1:48" x14ac:dyDescent="0.3">
      <c r="A166" s="100">
        <f t="shared" si="11"/>
        <v>45909</v>
      </c>
      <c r="B166" s="101">
        <f>YEAR(Table13[[#This Row],[Date]])+IF(MONTH(Table13[[#This Row],[Date]])&gt;=4,1,0)</f>
        <v>2026</v>
      </c>
      <c r="C166" s="7">
        <f>YEAR(Table13[[#This Row],[Date]])</f>
        <v>2025</v>
      </c>
      <c r="D166" s="102">
        <f>Table13[[#This Row],[Date]]-DAY(Table13[[#This Row],[Date]])+1</f>
        <v>45901</v>
      </c>
      <c r="E166" s="7">
        <f t="shared" si="8"/>
        <v>30</v>
      </c>
      <c r="F166" s="103" t="str">
        <f>IFERROR(_xlfn.XLOOKUP($A166,'Raw Data'!$G:$G,'Raw Data'!$AM:$AM),"")</f>
        <v/>
      </c>
      <c r="G166" s="104" t="str">
        <f>IFERROR(_xlfn.XLOOKUP($A166,'Raw Data'!$G:$G,'Raw Data'!$AB:$AB),"")</f>
        <v/>
      </c>
      <c r="H166" s="104"/>
      <c r="I166" s="104" t="str">
        <f>IFERROR(_xlfn.XLOOKUP($A166,'Raw Data'!$G:$G,'Raw Data'!$AC:$AC),"")</f>
        <v/>
      </c>
      <c r="J166" s="104"/>
      <c r="K166" s="104" t="str">
        <f>IFERROR(_xlfn.XLOOKUP($A166,'Raw Data'!$G:$G,'Raw Data'!AD:AD),"")</f>
        <v/>
      </c>
      <c r="L166" s="104" t="str">
        <f>IFERROR(_xlfn.XLOOKUP($A166,'Raw Data'!$G:$G,'Raw Data'!AE:AE),"")</f>
        <v/>
      </c>
      <c r="M166" s="104" t="str">
        <f>IFERROR(_xlfn.XLOOKUP($A166,'Raw Data'!$G:$G,'Raw Data'!AF:AF),"")</f>
        <v/>
      </c>
      <c r="N166" s="104" t="str">
        <f>IFERROR(_xlfn.XLOOKUP($A166,'Raw Data'!$G:$G,'Raw Data'!AG:AG),"")</f>
        <v/>
      </c>
      <c r="O166" s="105" t="str">
        <f>IFERROR(1-SUMIF('Plant BD'!$B:$B,$A166,'Plant BD'!$AM:$AM)/($AA166+SUMIF('Plant BD'!$B:$B,$A166,'Plant BD'!$AM:$AM)),"")</f>
        <v/>
      </c>
      <c r="P166" s="105"/>
      <c r="Q166" s="106"/>
      <c r="R166" s="105" t="str">
        <f>IFERROR(1-SUMIF('Grid BD'!$B:$B,$A166,'Grid BD'!$AE:$AE)/($AA166+SUMIF('Grid BD'!$B:$B,$A166,'Grid BD'!$AE:$AE)),"")</f>
        <v/>
      </c>
      <c r="T166" s="106"/>
      <c r="U166" s="107" t="str">
        <f t="shared" si="9"/>
        <v/>
      </c>
      <c r="V166" s="107"/>
      <c r="W166" s="108" t="str">
        <f t="shared" si="10"/>
        <v/>
      </c>
      <c r="X166" s="101" t="str">
        <f>IFERROR(_xlfn.XLOOKUP($A166,'Raw Data'!$G:$G,'Raw Data'!AI:AI),"")</f>
        <v/>
      </c>
      <c r="Y166" s="101" t="str">
        <f>IFERROR(_xlfn.XLOOKUP($A166,'Raw Data'!$G:$G,'Raw Data'!AJ:AJ),"")</f>
        <v/>
      </c>
      <c r="Z166" s="101" t="str">
        <f>IFERROR(_xlfn.XLOOKUP($A166,'Raw Data'!$G:$G,'Raw Data'!AK:AK),"")</f>
        <v/>
      </c>
      <c r="AA166" s="101" t="str">
        <f>IFERROR(_xlfn.XLOOKUP($A166,'Raw Data'!$G:$G,'Raw Data'!$AL:$AL)*(1+(_xlfn.XLOOKUP(Table13[[#This Row],[Month Year]],JMR!$A:$A,JMR!$J:$J))),"")</f>
        <v/>
      </c>
      <c r="AB166" s="101" t="str">
        <f>IFERROR(_xlfn.XLOOKUP($A166,'Raw Data'!$G:$G,'Raw Data'!H:H),"")</f>
        <v/>
      </c>
      <c r="AC166" s="67">
        <f>IFERROR(_xlfn.XLOOKUP($D166,'Modelling New'!$D:$D,'Modelling New'!P:P),"")</f>
        <v>4.8466666666666667</v>
      </c>
      <c r="AD166" s="101">
        <f>IFERROR(_xlfn.XLOOKUP($D166,'Modelling New'!$D:$D,'Modelling New'!$T:$T)*1000,"")</f>
        <v>27099.030800071054</v>
      </c>
      <c r="AE166" s="109">
        <f>IFERROR(_xlfn.XLOOKUP($D166,'Modelling New'!$D:$D,'Modelling New'!O:O),"")</f>
        <v>0.69708783670793795</v>
      </c>
      <c r="AF166" s="108">
        <f>IFERROR(_xlfn.XLOOKUP($D166,'Modelling New'!$D:$D,'Modelling New'!W:W),"")</f>
        <v>0.14077301591296412</v>
      </c>
      <c r="AG166" s="108">
        <f>IFERROR(_xlfn.XLOOKUP($D166,'Modelling New'!$D:$D,'Modelling New'!AE:AE),"")</f>
        <v>0.98040000000000005</v>
      </c>
      <c r="AH166" s="128">
        <f>IFERROR(_xlfn.XLOOKUP($D166,'Modelling New'!$D:$D,'Modelling New'!AF:AF),"")</f>
        <v>0.98</v>
      </c>
      <c r="AN166" s="105"/>
      <c r="AO166" s="108"/>
      <c r="AP166" s="108"/>
      <c r="AQ166" s="108"/>
      <c r="AR166" s="101">
        <f>'Basic Data'!$B$98/1000</f>
        <v>8.0208999999999993</v>
      </c>
      <c r="AT166" s="7" t="str">
        <f>IFERROR(_xlfn.XLOOKUP(Table13[[#This Row],[Date]],'Raw Data'!$G:$G,'Raw Data'!$AN:$AN),"")</f>
        <v/>
      </c>
      <c r="AU166" s="7">
        <f>IFERROR(_xlfn.XLOOKUP(Table13[[#This Row],[Month Year]],'Modelling New'!$D:$D,'Modelling New'!$AO:$AO),"")</f>
        <v>8</v>
      </c>
      <c r="AV166" s="7">
        <f>SUMIF('Curtailment Records'!$C:$C,Table13[[#This Row],[Date]],'Curtailment Records'!$R:$R)/1000</f>
        <v>0</v>
      </c>
    </row>
    <row r="167" spans="1:48" x14ac:dyDescent="0.3">
      <c r="A167" s="100">
        <f t="shared" si="11"/>
        <v>45910</v>
      </c>
      <c r="B167" s="101">
        <f>YEAR(Table13[[#This Row],[Date]])+IF(MONTH(Table13[[#This Row],[Date]])&gt;=4,1,0)</f>
        <v>2026</v>
      </c>
      <c r="C167" s="7">
        <f>YEAR(Table13[[#This Row],[Date]])</f>
        <v>2025</v>
      </c>
      <c r="D167" s="102">
        <f>Table13[[#This Row],[Date]]-DAY(Table13[[#This Row],[Date]])+1</f>
        <v>45901</v>
      </c>
      <c r="E167" s="7">
        <f t="shared" si="8"/>
        <v>30</v>
      </c>
      <c r="F167" s="103" t="str">
        <f>IFERROR(_xlfn.XLOOKUP($A167,'Raw Data'!$G:$G,'Raw Data'!$AM:$AM),"")</f>
        <v/>
      </c>
      <c r="G167" s="104" t="str">
        <f>IFERROR(_xlfn.XLOOKUP($A167,'Raw Data'!$G:$G,'Raw Data'!$AB:$AB),"")</f>
        <v/>
      </c>
      <c r="H167" s="104"/>
      <c r="I167" s="104" t="str">
        <f>IFERROR(_xlfn.XLOOKUP($A167,'Raw Data'!$G:$G,'Raw Data'!$AC:$AC),"")</f>
        <v/>
      </c>
      <c r="J167" s="104"/>
      <c r="K167" s="104" t="str">
        <f>IFERROR(_xlfn.XLOOKUP($A167,'Raw Data'!$G:$G,'Raw Data'!AD:AD),"")</f>
        <v/>
      </c>
      <c r="L167" s="104" t="str">
        <f>IFERROR(_xlfn.XLOOKUP($A167,'Raw Data'!$G:$G,'Raw Data'!AE:AE),"")</f>
        <v/>
      </c>
      <c r="M167" s="104" t="str">
        <f>IFERROR(_xlfn.XLOOKUP($A167,'Raw Data'!$G:$G,'Raw Data'!AF:AF),"")</f>
        <v/>
      </c>
      <c r="N167" s="104" t="str">
        <f>IFERROR(_xlfn.XLOOKUP($A167,'Raw Data'!$G:$G,'Raw Data'!AG:AG),"")</f>
        <v/>
      </c>
      <c r="O167" s="105" t="str">
        <f>IFERROR(1-SUMIF('Plant BD'!$B:$B,$A167,'Plant BD'!$AM:$AM)/($AA167+SUMIF('Plant BD'!$B:$B,$A167,'Plant BD'!$AM:$AM)),"")</f>
        <v/>
      </c>
      <c r="P167" s="105"/>
      <c r="Q167" s="106"/>
      <c r="R167" s="105" t="str">
        <f>IFERROR(1-SUMIF('Grid BD'!$B:$B,$A167,'Grid BD'!$AE:$AE)/($AA167+SUMIF('Grid BD'!$B:$B,$A167,'Grid BD'!$AE:$AE)),"")</f>
        <v/>
      </c>
      <c r="T167" s="106"/>
      <c r="U167" s="107" t="str">
        <f t="shared" si="9"/>
        <v/>
      </c>
      <c r="V167" s="107"/>
      <c r="W167" s="108" t="str">
        <f t="shared" si="10"/>
        <v/>
      </c>
      <c r="X167" s="101" t="str">
        <f>IFERROR(_xlfn.XLOOKUP($A167,'Raw Data'!$G:$G,'Raw Data'!AI:AI),"")</f>
        <v/>
      </c>
      <c r="Y167" s="101" t="str">
        <f>IFERROR(_xlfn.XLOOKUP($A167,'Raw Data'!$G:$G,'Raw Data'!AJ:AJ),"")</f>
        <v/>
      </c>
      <c r="Z167" s="101" t="str">
        <f>IFERROR(_xlfn.XLOOKUP($A167,'Raw Data'!$G:$G,'Raw Data'!AK:AK),"")</f>
        <v/>
      </c>
      <c r="AA167" s="101" t="str">
        <f>IFERROR(_xlfn.XLOOKUP($A167,'Raw Data'!$G:$G,'Raw Data'!$AL:$AL)*(1+(_xlfn.XLOOKUP(Table13[[#This Row],[Month Year]],JMR!$A:$A,JMR!$J:$J))),"")</f>
        <v/>
      </c>
      <c r="AB167" s="101" t="str">
        <f>IFERROR(_xlfn.XLOOKUP($A167,'Raw Data'!$G:$G,'Raw Data'!H:H),"")</f>
        <v/>
      </c>
      <c r="AC167" s="67">
        <f>IFERROR(_xlfn.XLOOKUP($D167,'Modelling New'!$D:$D,'Modelling New'!P:P),"")</f>
        <v>4.8466666666666667</v>
      </c>
      <c r="AD167" s="101">
        <f>IFERROR(_xlfn.XLOOKUP($D167,'Modelling New'!$D:$D,'Modelling New'!$T:$T)*1000,"")</f>
        <v>27099.030800071054</v>
      </c>
      <c r="AE167" s="109">
        <f>IFERROR(_xlfn.XLOOKUP($D167,'Modelling New'!$D:$D,'Modelling New'!O:O),"")</f>
        <v>0.69708783670793795</v>
      </c>
      <c r="AF167" s="108">
        <f>IFERROR(_xlfn.XLOOKUP($D167,'Modelling New'!$D:$D,'Modelling New'!W:W),"")</f>
        <v>0.14077301591296412</v>
      </c>
      <c r="AG167" s="108">
        <f>IFERROR(_xlfn.XLOOKUP($D167,'Modelling New'!$D:$D,'Modelling New'!AE:AE),"")</f>
        <v>0.98040000000000005</v>
      </c>
      <c r="AH167" s="128">
        <f>IFERROR(_xlfn.XLOOKUP($D167,'Modelling New'!$D:$D,'Modelling New'!AF:AF),"")</f>
        <v>0.98</v>
      </c>
      <c r="AN167" s="105"/>
      <c r="AO167" s="108"/>
      <c r="AP167" s="108"/>
      <c r="AQ167" s="108"/>
      <c r="AR167" s="101">
        <f>'Basic Data'!$B$98/1000</f>
        <v>8.0208999999999993</v>
      </c>
      <c r="AT167" s="7" t="str">
        <f>IFERROR(_xlfn.XLOOKUP(Table13[[#This Row],[Date]],'Raw Data'!$G:$G,'Raw Data'!$AN:$AN),"")</f>
        <v/>
      </c>
      <c r="AU167" s="7">
        <f>IFERROR(_xlfn.XLOOKUP(Table13[[#This Row],[Month Year]],'Modelling New'!$D:$D,'Modelling New'!$AO:$AO),"")</f>
        <v>8</v>
      </c>
      <c r="AV167" s="7">
        <f>SUMIF('Curtailment Records'!$C:$C,Table13[[#This Row],[Date]],'Curtailment Records'!$R:$R)/1000</f>
        <v>0</v>
      </c>
    </row>
    <row r="168" spans="1:48" x14ac:dyDescent="0.3">
      <c r="A168" s="100">
        <f t="shared" si="11"/>
        <v>45911</v>
      </c>
      <c r="B168" s="101">
        <f>YEAR(Table13[[#This Row],[Date]])+IF(MONTH(Table13[[#This Row],[Date]])&gt;=4,1,0)</f>
        <v>2026</v>
      </c>
      <c r="C168" s="7">
        <f>YEAR(Table13[[#This Row],[Date]])</f>
        <v>2025</v>
      </c>
      <c r="D168" s="102">
        <f>Table13[[#This Row],[Date]]-DAY(Table13[[#This Row],[Date]])+1</f>
        <v>45901</v>
      </c>
      <c r="E168" s="7">
        <f t="shared" si="8"/>
        <v>30</v>
      </c>
      <c r="F168" s="103" t="str">
        <f>IFERROR(_xlfn.XLOOKUP($A168,'Raw Data'!$G:$G,'Raw Data'!$AM:$AM),"")</f>
        <v/>
      </c>
      <c r="G168" s="104" t="str">
        <f>IFERROR(_xlfn.XLOOKUP($A168,'Raw Data'!$G:$G,'Raw Data'!$AB:$AB),"")</f>
        <v/>
      </c>
      <c r="H168" s="104"/>
      <c r="I168" s="104" t="str">
        <f>IFERROR(_xlfn.XLOOKUP($A168,'Raw Data'!$G:$G,'Raw Data'!$AC:$AC),"")</f>
        <v/>
      </c>
      <c r="J168" s="104"/>
      <c r="K168" s="104" t="str">
        <f>IFERROR(_xlfn.XLOOKUP($A168,'Raw Data'!$G:$G,'Raw Data'!AD:AD),"")</f>
        <v/>
      </c>
      <c r="L168" s="104" t="str">
        <f>IFERROR(_xlfn.XLOOKUP($A168,'Raw Data'!$G:$G,'Raw Data'!AE:AE),"")</f>
        <v/>
      </c>
      <c r="M168" s="104" t="str">
        <f>IFERROR(_xlfn.XLOOKUP($A168,'Raw Data'!$G:$G,'Raw Data'!AF:AF),"")</f>
        <v/>
      </c>
      <c r="N168" s="104" t="str">
        <f>IFERROR(_xlfn.XLOOKUP($A168,'Raw Data'!$G:$G,'Raw Data'!AG:AG),"")</f>
        <v/>
      </c>
      <c r="O168" s="105" t="str">
        <f>IFERROR(1-SUMIF('Plant BD'!$B:$B,$A168,'Plant BD'!$AM:$AM)/($AA168+SUMIF('Plant BD'!$B:$B,$A168,'Plant BD'!$AM:$AM)),"")</f>
        <v/>
      </c>
      <c r="P168" s="105"/>
      <c r="Q168" s="106"/>
      <c r="R168" s="105" t="str">
        <f>IFERROR(1-SUMIF('Grid BD'!$B:$B,$A168,'Grid BD'!$AE:$AE)/($AA168+SUMIF('Grid BD'!$B:$B,$A168,'Grid BD'!$AE:$AE)),"")</f>
        <v/>
      </c>
      <c r="T168" s="106"/>
      <c r="U168" s="107" t="str">
        <f t="shared" si="9"/>
        <v/>
      </c>
      <c r="V168" s="107"/>
      <c r="W168" s="108" t="str">
        <f t="shared" si="10"/>
        <v/>
      </c>
      <c r="X168" s="101" t="str">
        <f>IFERROR(_xlfn.XLOOKUP($A168,'Raw Data'!$G:$G,'Raw Data'!AI:AI),"")</f>
        <v/>
      </c>
      <c r="Y168" s="101" t="str">
        <f>IFERROR(_xlfn.XLOOKUP($A168,'Raw Data'!$G:$G,'Raw Data'!AJ:AJ),"")</f>
        <v/>
      </c>
      <c r="Z168" s="101" t="str">
        <f>IFERROR(_xlfn.XLOOKUP($A168,'Raw Data'!$G:$G,'Raw Data'!AK:AK),"")</f>
        <v/>
      </c>
      <c r="AA168" s="101" t="str">
        <f>IFERROR(_xlfn.XLOOKUP($A168,'Raw Data'!$G:$G,'Raw Data'!$AL:$AL)*(1+(_xlfn.XLOOKUP(Table13[[#This Row],[Month Year]],JMR!$A:$A,JMR!$J:$J))),"")</f>
        <v/>
      </c>
      <c r="AB168" s="101" t="str">
        <f>IFERROR(_xlfn.XLOOKUP($A168,'Raw Data'!$G:$G,'Raw Data'!H:H),"")</f>
        <v/>
      </c>
      <c r="AC168" s="67">
        <f>IFERROR(_xlfn.XLOOKUP($D168,'Modelling New'!$D:$D,'Modelling New'!P:P),"")</f>
        <v>4.8466666666666667</v>
      </c>
      <c r="AD168" s="101">
        <f>IFERROR(_xlfn.XLOOKUP($D168,'Modelling New'!$D:$D,'Modelling New'!$T:$T)*1000,"")</f>
        <v>27099.030800071054</v>
      </c>
      <c r="AE168" s="109">
        <f>IFERROR(_xlfn.XLOOKUP($D168,'Modelling New'!$D:$D,'Modelling New'!O:O),"")</f>
        <v>0.69708783670793795</v>
      </c>
      <c r="AF168" s="108">
        <f>IFERROR(_xlfn.XLOOKUP($D168,'Modelling New'!$D:$D,'Modelling New'!W:W),"")</f>
        <v>0.14077301591296412</v>
      </c>
      <c r="AG168" s="108">
        <f>IFERROR(_xlfn.XLOOKUP($D168,'Modelling New'!$D:$D,'Modelling New'!AE:AE),"")</f>
        <v>0.98040000000000005</v>
      </c>
      <c r="AH168" s="128">
        <f>IFERROR(_xlfn.XLOOKUP($D168,'Modelling New'!$D:$D,'Modelling New'!AF:AF),"")</f>
        <v>0.98</v>
      </c>
      <c r="AN168" s="105"/>
      <c r="AO168" s="108"/>
      <c r="AP168" s="108"/>
      <c r="AQ168" s="108"/>
      <c r="AR168" s="101">
        <f>'Basic Data'!$B$98/1000</f>
        <v>8.0208999999999993</v>
      </c>
      <c r="AT168" s="7" t="str">
        <f>IFERROR(_xlfn.XLOOKUP(Table13[[#This Row],[Date]],'Raw Data'!$G:$G,'Raw Data'!$AN:$AN),"")</f>
        <v/>
      </c>
      <c r="AU168" s="7">
        <f>IFERROR(_xlfn.XLOOKUP(Table13[[#This Row],[Month Year]],'Modelling New'!$D:$D,'Modelling New'!$AO:$AO),"")</f>
        <v>8</v>
      </c>
      <c r="AV168" s="7">
        <f>SUMIF('Curtailment Records'!$C:$C,Table13[[#This Row],[Date]],'Curtailment Records'!$R:$R)/1000</f>
        <v>0</v>
      </c>
    </row>
    <row r="169" spans="1:48" x14ac:dyDescent="0.3">
      <c r="A169" s="100">
        <f t="shared" si="11"/>
        <v>45912</v>
      </c>
      <c r="B169" s="101">
        <f>YEAR(Table13[[#This Row],[Date]])+IF(MONTH(Table13[[#This Row],[Date]])&gt;=4,1,0)</f>
        <v>2026</v>
      </c>
      <c r="C169" s="7">
        <f>YEAR(Table13[[#This Row],[Date]])</f>
        <v>2025</v>
      </c>
      <c r="D169" s="102">
        <f>Table13[[#This Row],[Date]]-DAY(Table13[[#This Row],[Date]])+1</f>
        <v>45901</v>
      </c>
      <c r="E169" s="7">
        <f t="shared" si="8"/>
        <v>30</v>
      </c>
      <c r="F169" s="103" t="str">
        <f>IFERROR(_xlfn.XLOOKUP($A169,'Raw Data'!$G:$G,'Raw Data'!$AM:$AM),"")</f>
        <v/>
      </c>
      <c r="G169" s="104" t="str">
        <f>IFERROR(_xlfn.XLOOKUP($A169,'Raw Data'!$G:$G,'Raw Data'!$AB:$AB),"")</f>
        <v/>
      </c>
      <c r="H169" s="104"/>
      <c r="I169" s="104" t="str">
        <f>IFERROR(_xlfn.XLOOKUP($A169,'Raw Data'!$G:$G,'Raw Data'!$AC:$AC),"")</f>
        <v/>
      </c>
      <c r="J169" s="104"/>
      <c r="K169" s="104" t="str">
        <f>IFERROR(_xlfn.XLOOKUP($A169,'Raw Data'!$G:$G,'Raw Data'!AD:AD),"")</f>
        <v/>
      </c>
      <c r="L169" s="104" t="str">
        <f>IFERROR(_xlfn.XLOOKUP($A169,'Raw Data'!$G:$G,'Raw Data'!AE:AE),"")</f>
        <v/>
      </c>
      <c r="M169" s="104" t="str">
        <f>IFERROR(_xlfn.XLOOKUP($A169,'Raw Data'!$G:$G,'Raw Data'!AF:AF),"")</f>
        <v/>
      </c>
      <c r="N169" s="104" t="str">
        <f>IFERROR(_xlfn.XLOOKUP($A169,'Raw Data'!$G:$G,'Raw Data'!AG:AG),"")</f>
        <v/>
      </c>
      <c r="O169" s="105" t="str">
        <f>IFERROR(1-SUMIF('Plant BD'!$B:$B,$A169,'Plant BD'!$AM:$AM)/($AA169+SUMIF('Plant BD'!$B:$B,$A169,'Plant BD'!$AM:$AM)),"")</f>
        <v/>
      </c>
      <c r="P169" s="105"/>
      <c r="Q169" s="106"/>
      <c r="R169" s="105" t="str">
        <f>IFERROR(1-SUMIF('Grid BD'!$B:$B,$A169,'Grid BD'!$AE:$AE)/($AA169+SUMIF('Grid BD'!$B:$B,$A169,'Grid BD'!$AE:$AE)),"")</f>
        <v/>
      </c>
      <c r="T169" s="106"/>
      <c r="U169" s="107" t="str">
        <f t="shared" si="9"/>
        <v/>
      </c>
      <c r="V169" s="107"/>
      <c r="W169" s="108" t="str">
        <f t="shared" si="10"/>
        <v/>
      </c>
      <c r="X169" s="101" t="str">
        <f>IFERROR(_xlfn.XLOOKUP($A169,'Raw Data'!$G:$G,'Raw Data'!AI:AI),"")</f>
        <v/>
      </c>
      <c r="Y169" s="101" t="str">
        <f>IFERROR(_xlfn.XLOOKUP($A169,'Raw Data'!$G:$G,'Raw Data'!AJ:AJ),"")</f>
        <v/>
      </c>
      <c r="Z169" s="101" t="str">
        <f>IFERROR(_xlfn.XLOOKUP($A169,'Raw Data'!$G:$G,'Raw Data'!AK:AK),"")</f>
        <v/>
      </c>
      <c r="AA169" s="101" t="str">
        <f>IFERROR(_xlfn.XLOOKUP($A169,'Raw Data'!$G:$G,'Raw Data'!$AL:$AL)*(1+(_xlfn.XLOOKUP(Table13[[#This Row],[Month Year]],JMR!$A:$A,JMR!$J:$J))),"")</f>
        <v/>
      </c>
      <c r="AB169" s="101" t="str">
        <f>IFERROR(_xlfn.XLOOKUP($A169,'Raw Data'!$G:$G,'Raw Data'!H:H),"")</f>
        <v/>
      </c>
      <c r="AC169" s="67">
        <f>IFERROR(_xlfn.XLOOKUP($D169,'Modelling New'!$D:$D,'Modelling New'!P:P),"")</f>
        <v>4.8466666666666667</v>
      </c>
      <c r="AD169" s="101">
        <f>IFERROR(_xlfn.XLOOKUP($D169,'Modelling New'!$D:$D,'Modelling New'!$T:$T)*1000,"")</f>
        <v>27099.030800071054</v>
      </c>
      <c r="AE169" s="109">
        <f>IFERROR(_xlfn.XLOOKUP($D169,'Modelling New'!$D:$D,'Modelling New'!O:O),"")</f>
        <v>0.69708783670793795</v>
      </c>
      <c r="AF169" s="108">
        <f>IFERROR(_xlfn.XLOOKUP($D169,'Modelling New'!$D:$D,'Modelling New'!W:W),"")</f>
        <v>0.14077301591296412</v>
      </c>
      <c r="AG169" s="108">
        <f>IFERROR(_xlfn.XLOOKUP($D169,'Modelling New'!$D:$D,'Modelling New'!AE:AE),"")</f>
        <v>0.98040000000000005</v>
      </c>
      <c r="AH169" s="128">
        <f>IFERROR(_xlfn.XLOOKUP($D169,'Modelling New'!$D:$D,'Modelling New'!AF:AF),"")</f>
        <v>0.98</v>
      </c>
      <c r="AN169" s="105"/>
      <c r="AO169" s="108"/>
      <c r="AP169" s="108"/>
      <c r="AQ169" s="108"/>
      <c r="AR169" s="101">
        <f>'Basic Data'!$B$98/1000</f>
        <v>8.0208999999999993</v>
      </c>
      <c r="AT169" s="7" t="str">
        <f>IFERROR(_xlfn.XLOOKUP(Table13[[#This Row],[Date]],'Raw Data'!$G:$G,'Raw Data'!$AN:$AN),"")</f>
        <v/>
      </c>
      <c r="AU169" s="7">
        <f>IFERROR(_xlfn.XLOOKUP(Table13[[#This Row],[Month Year]],'Modelling New'!$D:$D,'Modelling New'!$AO:$AO),"")</f>
        <v>8</v>
      </c>
      <c r="AV169" s="7">
        <f>SUMIF('Curtailment Records'!$C:$C,Table13[[#This Row],[Date]],'Curtailment Records'!$R:$R)/1000</f>
        <v>0</v>
      </c>
    </row>
    <row r="170" spans="1:48" x14ac:dyDescent="0.3">
      <c r="A170" s="100">
        <f t="shared" si="11"/>
        <v>45913</v>
      </c>
      <c r="B170" s="101">
        <f>YEAR(Table13[[#This Row],[Date]])+IF(MONTH(Table13[[#This Row],[Date]])&gt;=4,1,0)</f>
        <v>2026</v>
      </c>
      <c r="C170" s="7">
        <f>YEAR(Table13[[#This Row],[Date]])</f>
        <v>2025</v>
      </c>
      <c r="D170" s="102">
        <f>Table13[[#This Row],[Date]]-DAY(Table13[[#This Row],[Date]])+1</f>
        <v>45901</v>
      </c>
      <c r="E170" s="7">
        <f t="shared" si="8"/>
        <v>30</v>
      </c>
      <c r="F170" s="103" t="str">
        <f>IFERROR(_xlfn.XLOOKUP($A170,'Raw Data'!$G:$G,'Raw Data'!$AM:$AM),"")</f>
        <v/>
      </c>
      <c r="G170" s="104" t="str">
        <f>IFERROR(_xlfn.XLOOKUP($A170,'Raw Data'!$G:$G,'Raw Data'!$AB:$AB),"")</f>
        <v/>
      </c>
      <c r="H170" s="104"/>
      <c r="I170" s="104" t="str">
        <f>IFERROR(_xlfn.XLOOKUP($A170,'Raw Data'!$G:$G,'Raw Data'!$AC:$AC),"")</f>
        <v/>
      </c>
      <c r="J170" s="104"/>
      <c r="K170" s="104" t="str">
        <f>IFERROR(_xlfn.XLOOKUP($A170,'Raw Data'!$G:$G,'Raw Data'!AD:AD),"")</f>
        <v/>
      </c>
      <c r="L170" s="104" t="str">
        <f>IFERROR(_xlfn.XLOOKUP($A170,'Raw Data'!$G:$G,'Raw Data'!AE:AE),"")</f>
        <v/>
      </c>
      <c r="M170" s="104" t="str">
        <f>IFERROR(_xlfn.XLOOKUP($A170,'Raw Data'!$G:$G,'Raw Data'!AF:AF),"")</f>
        <v/>
      </c>
      <c r="N170" s="104" t="str">
        <f>IFERROR(_xlfn.XLOOKUP($A170,'Raw Data'!$G:$G,'Raw Data'!AG:AG),"")</f>
        <v/>
      </c>
      <c r="O170" s="105" t="str">
        <f>IFERROR(1-SUMIF('Plant BD'!$B:$B,$A170,'Plant BD'!$AM:$AM)/($AA170+SUMIF('Plant BD'!$B:$B,$A170,'Plant BD'!$AM:$AM)),"")</f>
        <v/>
      </c>
      <c r="P170" s="105"/>
      <c r="Q170" s="106"/>
      <c r="R170" s="105" t="str">
        <f>IFERROR(1-SUMIF('Grid BD'!$B:$B,$A170,'Grid BD'!$AE:$AE)/($AA170+SUMIF('Grid BD'!$B:$B,$A170,'Grid BD'!$AE:$AE)),"")</f>
        <v/>
      </c>
      <c r="T170" s="106"/>
      <c r="U170" s="107" t="str">
        <f t="shared" si="9"/>
        <v/>
      </c>
      <c r="V170" s="107"/>
      <c r="W170" s="108" t="str">
        <f t="shared" si="10"/>
        <v/>
      </c>
      <c r="X170" s="101" t="str">
        <f>IFERROR(_xlfn.XLOOKUP($A170,'Raw Data'!$G:$G,'Raw Data'!AI:AI),"")</f>
        <v/>
      </c>
      <c r="Y170" s="101" t="str">
        <f>IFERROR(_xlfn.XLOOKUP($A170,'Raw Data'!$G:$G,'Raw Data'!AJ:AJ),"")</f>
        <v/>
      </c>
      <c r="Z170" s="101" t="str">
        <f>IFERROR(_xlfn.XLOOKUP($A170,'Raw Data'!$G:$G,'Raw Data'!AK:AK),"")</f>
        <v/>
      </c>
      <c r="AA170" s="101" t="str">
        <f>IFERROR(_xlfn.XLOOKUP($A170,'Raw Data'!$G:$G,'Raw Data'!$AL:$AL)*(1+(_xlfn.XLOOKUP(Table13[[#This Row],[Month Year]],JMR!$A:$A,JMR!$J:$J))),"")</f>
        <v/>
      </c>
      <c r="AB170" s="101" t="str">
        <f>IFERROR(_xlfn.XLOOKUP($A170,'Raw Data'!$G:$G,'Raw Data'!H:H),"")</f>
        <v/>
      </c>
      <c r="AC170" s="67">
        <f>IFERROR(_xlfn.XLOOKUP($D170,'Modelling New'!$D:$D,'Modelling New'!P:P),"")</f>
        <v>4.8466666666666667</v>
      </c>
      <c r="AD170" s="101">
        <f>IFERROR(_xlfn.XLOOKUP($D170,'Modelling New'!$D:$D,'Modelling New'!$T:$T)*1000,"")</f>
        <v>27099.030800071054</v>
      </c>
      <c r="AE170" s="109">
        <f>IFERROR(_xlfn.XLOOKUP($D170,'Modelling New'!$D:$D,'Modelling New'!O:O),"")</f>
        <v>0.69708783670793795</v>
      </c>
      <c r="AF170" s="108">
        <f>IFERROR(_xlfn.XLOOKUP($D170,'Modelling New'!$D:$D,'Modelling New'!W:W),"")</f>
        <v>0.14077301591296412</v>
      </c>
      <c r="AG170" s="108">
        <f>IFERROR(_xlfn.XLOOKUP($D170,'Modelling New'!$D:$D,'Modelling New'!AE:AE),"")</f>
        <v>0.98040000000000005</v>
      </c>
      <c r="AH170" s="128">
        <f>IFERROR(_xlfn.XLOOKUP($D170,'Modelling New'!$D:$D,'Modelling New'!AF:AF),"")</f>
        <v>0.98</v>
      </c>
      <c r="AN170" s="105"/>
      <c r="AO170" s="108"/>
      <c r="AP170" s="108"/>
      <c r="AQ170" s="108"/>
      <c r="AR170" s="101">
        <f>'Basic Data'!$B$98/1000</f>
        <v>8.0208999999999993</v>
      </c>
      <c r="AT170" s="7" t="str">
        <f>IFERROR(_xlfn.XLOOKUP(Table13[[#This Row],[Date]],'Raw Data'!$G:$G,'Raw Data'!$AN:$AN),"")</f>
        <v/>
      </c>
      <c r="AU170" s="7">
        <f>IFERROR(_xlfn.XLOOKUP(Table13[[#This Row],[Month Year]],'Modelling New'!$D:$D,'Modelling New'!$AO:$AO),"")</f>
        <v>8</v>
      </c>
      <c r="AV170" s="7">
        <f>SUMIF('Curtailment Records'!$C:$C,Table13[[#This Row],[Date]],'Curtailment Records'!$R:$R)/1000</f>
        <v>0</v>
      </c>
    </row>
    <row r="171" spans="1:48" x14ac:dyDescent="0.3">
      <c r="A171" s="100">
        <f t="shared" si="11"/>
        <v>45914</v>
      </c>
      <c r="B171" s="101">
        <f>YEAR(Table13[[#This Row],[Date]])+IF(MONTH(Table13[[#This Row],[Date]])&gt;=4,1,0)</f>
        <v>2026</v>
      </c>
      <c r="C171" s="7">
        <f>YEAR(Table13[[#This Row],[Date]])</f>
        <v>2025</v>
      </c>
      <c r="D171" s="102">
        <f>Table13[[#This Row],[Date]]-DAY(Table13[[#This Row],[Date]])+1</f>
        <v>45901</v>
      </c>
      <c r="E171" s="7">
        <f t="shared" si="8"/>
        <v>30</v>
      </c>
      <c r="F171" s="103" t="str">
        <f>IFERROR(_xlfn.XLOOKUP($A171,'Raw Data'!$G:$G,'Raw Data'!$AM:$AM),"")</f>
        <v/>
      </c>
      <c r="G171" s="104" t="str">
        <f>IFERROR(_xlfn.XLOOKUP($A171,'Raw Data'!$G:$G,'Raw Data'!$AB:$AB),"")</f>
        <v/>
      </c>
      <c r="H171" s="104"/>
      <c r="I171" s="104" t="str">
        <f>IFERROR(_xlfn.XLOOKUP($A171,'Raw Data'!$G:$G,'Raw Data'!$AC:$AC),"")</f>
        <v/>
      </c>
      <c r="J171" s="104"/>
      <c r="K171" s="104" t="str">
        <f>IFERROR(_xlfn.XLOOKUP($A171,'Raw Data'!$G:$G,'Raw Data'!AD:AD),"")</f>
        <v/>
      </c>
      <c r="L171" s="104" t="str">
        <f>IFERROR(_xlfn.XLOOKUP($A171,'Raw Data'!$G:$G,'Raw Data'!AE:AE),"")</f>
        <v/>
      </c>
      <c r="M171" s="104" t="str">
        <f>IFERROR(_xlfn.XLOOKUP($A171,'Raw Data'!$G:$G,'Raw Data'!AF:AF),"")</f>
        <v/>
      </c>
      <c r="N171" s="104" t="str">
        <f>IFERROR(_xlfn.XLOOKUP($A171,'Raw Data'!$G:$G,'Raw Data'!AG:AG),"")</f>
        <v/>
      </c>
      <c r="O171" s="105" t="str">
        <f>IFERROR(1-SUMIF('Plant BD'!$B:$B,$A171,'Plant BD'!$AM:$AM)/($AA171+SUMIF('Plant BD'!$B:$B,$A171,'Plant BD'!$AM:$AM)),"")</f>
        <v/>
      </c>
      <c r="P171" s="105"/>
      <c r="Q171" s="106"/>
      <c r="R171" s="105" t="str">
        <f>IFERROR(1-SUMIF('Grid BD'!$B:$B,$A171,'Grid BD'!$AE:$AE)/($AA171+SUMIF('Grid BD'!$B:$B,$A171,'Grid BD'!$AE:$AE)),"")</f>
        <v/>
      </c>
      <c r="T171" s="106"/>
      <c r="U171" s="107" t="str">
        <f t="shared" si="9"/>
        <v/>
      </c>
      <c r="V171" s="107"/>
      <c r="W171" s="108" t="str">
        <f t="shared" si="10"/>
        <v/>
      </c>
      <c r="X171" s="101" t="str">
        <f>IFERROR(_xlfn.XLOOKUP($A171,'Raw Data'!$G:$G,'Raw Data'!AI:AI),"")</f>
        <v/>
      </c>
      <c r="Y171" s="101" t="str">
        <f>IFERROR(_xlfn.XLOOKUP($A171,'Raw Data'!$G:$G,'Raw Data'!AJ:AJ),"")</f>
        <v/>
      </c>
      <c r="Z171" s="101" t="str">
        <f>IFERROR(_xlfn.XLOOKUP($A171,'Raw Data'!$G:$G,'Raw Data'!AK:AK),"")</f>
        <v/>
      </c>
      <c r="AA171" s="101" t="str">
        <f>IFERROR(_xlfn.XLOOKUP($A171,'Raw Data'!$G:$G,'Raw Data'!$AL:$AL)*(1+(_xlfn.XLOOKUP(Table13[[#This Row],[Month Year]],JMR!$A:$A,JMR!$J:$J))),"")</f>
        <v/>
      </c>
      <c r="AB171" s="101" t="str">
        <f>IFERROR(_xlfn.XLOOKUP($A171,'Raw Data'!$G:$G,'Raw Data'!H:H),"")</f>
        <v/>
      </c>
      <c r="AC171" s="67">
        <f>IFERROR(_xlfn.XLOOKUP($D171,'Modelling New'!$D:$D,'Modelling New'!P:P),"")</f>
        <v>4.8466666666666667</v>
      </c>
      <c r="AD171" s="101">
        <f>IFERROR(_xlfn.XLOOKUP($D171,'Modelling New'!$D:$D,'Modelling New'!$T:$T)*1000,"")</f>
        <v>27099.030800071054</v>
      </c>
      <c r="AE171" s="109">
        <f>IFERROR(_xlfn.XLOOKUP($D171,'Modelling New'!$D:$D,'Modelling New'!O:O),"")</f>
        <v>0.69708783670793795</v>
      </c>
      <c r="AF171" s="108">
        <f>IFERROR(_xlfn.XLOOKUP($D171,'Modelling New'!$D:$D,'Modelling New'!W:W),"")</f>
        <v>0.14077301591296412</v>
      </c>
      <c r="AG171" s="108">
        <f>IFERROR(_xlfn.XLOOKUP($D171,'Modelling New'!$D:$D,'Modelling New'!AE:AE),"")</f>
        <v>0.98040000000000005</v>
      </c>
      <c r="AH171" s="128">
        <f>IFERROR(_xlfn.XLOOKUP($D171,'Modelling New'!$D:$D,'Modelling New'!AF:AF),"")</f>
        <v>0.98</v>
      </c>
      <c r="AN171" s="105"/>
      <c r="AO171" s="108"/>
      <c r="AP171" s="108"/>
      <c r="AQ171" s="108"/>
      <c r="AR171" s="101">
        <f>'Basic Data'!$B$98/1000</f>
        <v>8.0208999999999993</v>
      </c>
      <c r="AT171" s="7" t="str">
        <f>IFERROR(_xlfn.XLOOKUP(Table13[[#This Row],[Date]],'Raw Data'!$G:$G,'Raw Data'!$AN:$AN),"")</f>
        <v/>
      </c>
      <c r="AU171" s="7">
        <f>IFERROR(_xlfn.XLOOKUP(Table13[[#This Row],[Month Year]],'Modelling New'!$D:$D,'Modelling New'!$AO:$AO),"")</f>
        <v>8</v>
      </c>
      <c r="AV171" s="7">
        <f>SUMIF('Curtailment Records'!$C:$C,Table13[[#This Row],[Date]],'Curtailment Records'!$R:$R)/1000</f>
        <v>0</v>
      </c>
    </row>
    <row r="172" spans="1:48" x14ac:dyDescent="0.3">
      <c r="A172" s="100">
        <f t="shared" si="11"/>
        <v>45915</v>
      </c>
      <c r="B172" s="101">
        <f>YEAR(Table13[[#This Row],[Date]])+IF(MONTH(Table13[[#This Row],[Date]])&gt;=4,1,0)</f>
        <v>2026</v>
      </c>
      <c r="C172" s="7">
        <f>YEAR(Table13[[#This Row],[Date]])</f>
        <v>2025</v>
      </c>
      <c r="D172" s="102">
        <f>Table13[[#This Row],[Date]]-DAY(Table13[[#This Row],[Date]])+1</f>
        <v>45901</v>
      </c>
      <c r="E172" s="7">
        <f t="shared" si="8"/>
        <v>30</v>
      </c>
      <c r="F172" s="103" t="str">
        <f>IFERROR(_xlfn.XLOOKUP($A172,'Raw Data'!$G:$G,'Raw Data'!$AM:$AM),"")</f>
        <v/>
      </c>
      <c r="G172" s="104" t="str">
        <f>IFERROR(_xlfn.XLOOKUP($A172,'Raw Data'!$G:$G,'Raw Data'!$AB:$AB),"")</f>
        <v/>
      </c>
      <c r="H172" s="104"/>
      <c r="I172" s="104" t="str">
        <f>IFERROR(_xlfn.XLOOKUP($A172,'Raw Data'!$G:$G,'Raw Data'!$AC:$AC),"")</f>
        <v/>
      </c>
      <c r="J172" s="104"/>
      <c r="K172" s="104" t="str">
        <f>IFERROR(_xlfn.XLOOKUP($A172,'Raw Data'!$G:$G,'Raw Data'!AD:AD),"")</f>
        <v/>
      </c>
      <c r="L172" s="104" t="str">
        <f>IFERROR(_xlfn.XLOOKUP($A172,'Raw Data'!$G:$G,'Raw Data'!AE:AE),"")</f>
        <v/>
      </c>
      <c r="M172" s="104" t="str">
        <f>IFERROR(_xlfn.XLOOKUP($A172,'Raw Data'!$G:$G,'Raw Data'!AF:AF),"")</f>
        <v/>
      </c>
      <c r="N172" s="104" t="str">
        <f>IFERROR(_xlfn.XLOOKUP($A172,'Raw Data'!$G:$G,'Raw Data'!AG:AG),"")</f>
        <v/>
      </c>
      <c r="O172" s="105" t="str">
        <f>IFERROR(1-SUMIF('Plant BD'!$B:$B,$A172,'Plant BD'!$AM:$AM)/($AA172+SUMIF('Plant BD'!$B:$B,$A172,'Plant BD'!$AM:$AM)),"")</f>
        <v/>
      </c>
      <c r="P172" s="105"/>
      <c r="Q172" s="106"/>
      <c r="R172" s="105" t="str">
        <f>IFERROR(1-SUMIF('Grid BD'!$B:$B,$A172,'Grid BD'!$AE:$AE)/($AA172+SUMIF('Grid BD'!$B:$B,$A172,'Grid BD'!$AE:$AE)),"")</f>
        <v/>
      </c>
      <c r="T172" s="106"/>
      <c r="U172" s="107" t="str">
        <f t="shared" si="9"/>
        <v/>
      </c>
      <c r="V172" s="107"/>
      <c r="W172" s="108" t="str">
        <f t="shared" si="10"/>
        <v/>
      </c>
      <c r="X172" s="101" t="str">
        <f>IFERROR(_xlfn.XLOOKUP($A172,'Raw Data'!$G:$G,'Raw Data'!AI:AI),"")</f>
        <v/>
      </c>
      <c r="Y172" s="101" t="str">
        <f>IFERROR(_xlfn.XLOOKUP($A172,'Raw Data'!$G:$G,'Raw Data'!AJ:AJ),"")</f>
        <v/>
      </c>
      <c r="Z172" s="101" t="str">
        <f>IFERROR(_xlfn.XLOOKUP($A172,'Raw Data'!$G:$G,'Raw Data'!AK:AK),"")</f>
        <v/>
      </c>
      <c r="AA172" s="101" t="str">
        <f>IFERROR(_xlfn.XLOOKUP($A172,'Raw Data'!$G:$G,'Raw Data'!$AL:$AL)*(1+(_xlfn.XLOOKUP(Table13[[#This Row],[Month Year]],JMR!$A:$A,JMR!$J:$J))),"")</f>
        <v/>
      </c>
      <c r="AB172" s="101" t="str">
        <f>IFERROR(_xlfn.XLOOKUP($A172,'Raw Data'!$G:$G,'Raw Data'!H:H),"")</f>
        <v/>
      </c>
      <c r="AC172" s="67">
        <f>IFERROR(_xlfn.XLOOKUP($D172,'Modelling New'!$D:$D,'Modelling New'!P:P),"")</f>
        <v>4.8466666666666667</v>
      </c>
      <c r="AD172" s="101">
        <f>IFERROR(_xlfn.XLOOKUP($D172,'Modelling New'!$D:$D,'Modelling New'!$T:$T)*1000,"")</f>
        <v>27099.030800071054</v>
      </c>
      <c r="AE172" s="109">
        <f>IFERROR(_xlfn.XLOOKUP($D172,'Modelling New'!$D:$D,'Modelling New'!O:O),"")</f>
        <v>0.69708783670793795</v>
      </c>
      <c r="AF172" s="108">
        <f>IFERROR(_xlfn.XLOOKUP($D172,'Modelling New'!$D:$D,'Modelling New'!W:W),"")</f>
        <v>0.14077301591296412</v>
      </c>
      <c r="AG172" s="108">
        <f>IFERROR(_xlfn.XLOOKUP($D172,'Modelling New'!$D:$D,'Modelling New'!AE:AE),"")</f>
        <v>0.98040000000000005</v>
      </c>
      <c r="AH172" s="128">
        <f>IFERROR(_xlfn.XLOOKUP($D172,'Modelling New'!$D:$D,'Modelling New'!AF:AF),"")</f>
        <v>0.98</v>
      </c>
      <c r="AN172" s="105"/>
      <c r="AO172" s="108"/>
      <c r="AP172" s="108"/>
      <c r="AQ172" s="108"/>
      <c r="AR172" s="101">
        <f>'Basic Data'!$B$98/1000</f>
        <v>8.0208999999999993</v>
      </c>
      <c r="AT172" s="7" t="str">
        <f>IFERROR(_xlfn.XLOOKUP(Table13[[#This Row],[Date]],'Raw Data'!$G:$G,'Raw Data'!$AN:$AN),"")</f>
        <v/>
      </c>
      <c r="AU172" s="7">
        <f>IFERROR(_xlfn.XLOOKUP(Table13[[#This Row],[Month Year]],'Modelling New'!$D:$D,'Modelling New'!$AO:$AO),"")</f>
        <v>8</v>
      </c>
      <c r="AV172" s="7">
        <f>SUMIF('Curtailment Records'!$C:$C,Table13[[#This Row],[Date]],'Curtailment Records'!$R:$R)/1000</f>
        <v>0</v>
      </c>
    </row>
    <row r="173" spans="1:48" x14ac:dyDescent="0.3">
      <c r="A173" s="100">
        <f t="shared" si="11"/>
        <v>45916</v>
      </c>
      <c r="B173" s="101">
        <f>YEAR(Table13[[#This Row],[Date]])+IF(MONTH(Table13[[#This Row],[Date]])&gt;=4,1,0)</f>
        <v>2026</v>
      </c>
      <c r="C173" s="7">
        <f>YEAR(Table13[[#This Row],[Date]])</f>
        <v>2025</v>
      </c>
      <c r="D173" s="102">
        <f>Table13[[#This Row],[Date]]-DAY(Table13[[#This Row],[Date]])+1</f>
        <v>45901</v>
      </c>
      <c r="E173" s="7">
        <f t="shared" si="8"/>
        <v>30</v>
      </c>
      <c r="F173" s="103" t="str">
        <f>IFERROR(_xlfn.XLOOKUP($A173,'Raw Data'!$G:$G,'Raw Data'!$AM:$AM),"")</f>
        <v/>
      </c>
      <c r="G173" s="104" t="str">
        <f>IFERROR(_xlfn.XLOOKUP($A173,'Raw Data'!$G:$G,'Raw Data'!$AB:$AB),"")</f>
        <v/>
      </c>
      <c r="H173" s="104"/>
      <c r="I173" s="104" t="str">
        <f>IFERROR(_xlfn.XLOOKUP($A173,'Raw Data'!$G:$G,'Raw Data'!$AC:$AC),"")</f>
        <v/>
      </c>
      <c r="J173" s="104"/>
      <c r="K173" s="104" t="str">
        <f>IFERROR(_xlfn.XLOOKUP($A173,'Raw Data'!$G:$G,'Raw Data'!AD:AD),"")</f>
        <v/>
      </c>
      <c r="L173" s="104" t="str">
        <f>IFERROR(_xlfn.XLOOKUP($A173,'Raw Data'!$G:$G,'Raw Data'!AE:AE),"")</f>
        <v/>
      </c>
      <c r="M173" s="104" t="str">
        <f>IFERROR(_xlfn.XLOOKUP($A173,'Raw Data'!$G:$G,'Raw Data'!AF:AF),"")</f>
        <v/>
      </c>
      <c r="N173" s="104" t="str">
        <f>IFERROR(_xlfn.XLOOKUP($A173,'Raw Data'!$G:$G,'Raw Data'!AG:AG),"")</f>
        <v/>
      </c>
      <c r="O173" s="105" t="str">
        <f>IFERROR(1-SUMIF('Plant BD'!$B:$B,$A173,'Plant BD'!$AM:$AM)/($AA173+SUMIF('Plant BD'!$B:$B,$A173,'Plant BD'!$AM:$AM)),"")</f>
        <v/>
      </c>
      <c r="P173" s="105"/>
      <c r="Q173" s="106"/>
      <c r="R173" s="105" t="str">
        <f>IFERROR(1-SUMIF('Grid BD'!$B:$B,$A173,'Grid BD'!$AE:$AE)/($AA173+SUMIF('Grid BD'!$B:$B,$A173,'Grid BD'!$AE:$AE)),"")</f>
        <v/>
      </c>
      <c r="T173" s="106"/>
      <c r="U173" s="107" t="str">
        <f t="shared" si="9"/>
        <v/>
      </c>
      <c r="V173" s="107"/>
      <c r="W173" s="108" t="str">
        <f t="shared" si="10"/>
        <v/>
      </c>
      <c r="X173" s="101" t="str">
        <f>IFERROR(_xlfn.XLOOKUP($A173,'Raw Data'!$G:$G,'Raw Data'!AI:AI),"")</f>
        <v/>
      </c>
      <c r="Y173" s="101" t="str">
        <f>IFERROR(_xlfn.XLOOKUP($A173,'Raw Data'!$G:$G,'Raw Data'!AJ:AJ),"")</f>
        <v/>
      </c>
      <c r="Z173" s="101" t="str">
        <f>IFERROR(_xlfn.XLOOKUP($A173,'Raw Data'!$G:$G,'Raw Data'!AK:AK),"")</f>
        <v/>
      </c>
      <c r="AA173" s="101" t="str">
        <f>IFERROR(_xlfn.XLOOKUP($A173,'Raw Data'!$G:$G,'Raw Data'!$AL:$AL)*(1+(_xlfn.XLOOKUP(Table13[[#This Row],[Month Year]],JMR!$A:$A,JMR!$J:$J))),"")</f>
        <v/>
      </c>
      <c r="AB173" s="101" t="str">
        <f>IFERROR(_xlfn.XLOOKUP($A173,'Raw Data'!$G:$G,'Raw Data'!H:H),"")</f>
        <v/>
      </c>
      <c r="AC173" s="67">
        <f>IFERROR(_xlfn.XLOOKUP($D173,'Modelling New'!$D:$D,'Modelling New'!P:P),"")</f>
        <v>4.8466666666666667</v>
      </c>
      <c r="AD173" s="101">
        <f>IFERROR(_xlfn.XLOOKUP($D173,'Modelling New'!$D:$D,'Modelling New'!$T:$T)*1000,"")</f>
        <v>27099.030800071054</v>
      </c>
      <c r="AE173" s="109">
        <f>IFERROR(_xlfn.XLOOKUP($D173,'Modelling New'!$D:$D,'Modelling New'!O:O),"")</f>
        <v>0.69708783670793795</v>
      </c>
      <c r="AF173" s="108">
        <f>IFERROR(_xlfn.XLOOKUP($D173,'Modelling New'!$D:$D,'Modelling New'!W:W),"")</f>
        <v>0.14077301591296412</v>
      </c>
      <c r="AG173" s="108">
        <f>IFERROR(_xlfn.XLOOKUP($D173,'Modelling New'!$D:$D,'Modelling New'!AE:AE),"")</f>
        <v>0.98040000000000005</v>
      </c>
      <c r="AH173" s="128">
        <f>IFERROR(_xlfn.XLOOKUP($D173,'Modelling New'!$D:$D,'Modelling New'!AF:AF),"")</f>
        <v>0.98</v>
      </c>
      <c r="AN173" s="105"/>
      <c r="AO173" s="108"/>
      <c r="AP173" s="108"/>
      <c r="AQ173" s="108"/>
      <c r="AR173" s="101">
        <f>'Basic Data'!$B$98/1000</f>
        <v>8.0208999999999993</v>
      </c>
      <c r="AT173" s="7" t="str">
        <f>IFERROR(_xlfn.XLOOKUP(Table13[[#This Row],[Date]],'Raw Data'!$G:$G,'Raw Data'!$AN:$AN),"")</f>
        <v/>
      </c>
      <c r="AU173" s="7">
        <f>IFERROR(_xlfn.XLOOKUP(Table13[[#This Row],[Month Year]],'Modelling New'!$D:$D,'Modelling New'!$AO:$AO),"")</f>
        <v>8</v>
      </c>
      <c r="AV173" s="7">
        <f>SUMIF('Curtailment Records'!$C:$C,Table13[[#This Row],[Date]],'Curtailment Records'!$R:$R)/1000</f>
        <v>0</v>
      </c>
    </row>
    <row r="174" spans="1:48" x14ac:dyDescent="0.3">
      <c r="A174" s="100">
        <f t="shared" si="11"/>
        <v>45917</v>
      </c>
      <c r="B174" s="101">
        <f>YEAR(Table13[[#This Row],[Date]])+IF(MONTH(Table13[[#This Row],[Date]])&gt;=4,1,0)</f>
        <v>2026</v>
      </c>
      <c r="C174" s="7">
        <f>YEAR(Table13[[#This Row],[Date]])</f>
        <v>2025</v>
      </c>
      <c r="D174" s="102">
        <f>Table13[[#This Row],[Date]]-DAY(Table13[[#This Row],[Date]])+1</f>
        <v>45901</v>
      </c>
      <c r="E174" s="7">
        <f t="shared" si="8"/>
        <v>30</v>
      </c>
      <c r="F174" s="103" t="str">
        <f>IFERROR(_xlfn.XLOOKUP($A174,'Raw Data'!$G:$G,'Raw Data'!$AM:$AM),"")</f>
        <v/>
      </c>
      <c r="G174" s="104" t="str">
        <f>IFERROR(_xlfn.XLOOKUP($A174,'Raw Data'!$G:$G,'Raw Data'!$AB:$AB),"")</f>
        <v/>
      </c>
      <c r="H174" s="104"/>
      <c r="I174" s="104" t="str">
        <f>IFERROR(_xlfn.XLOOKUP($A174,'Raw Data'!$G:$G,'Raw Data'!$AC:$AC),"")</f>
        <v/>
      </c>
      <c r="J174" s="104"/>
      <c r="K174" s="104" t="str">
        <f>IFERROR(_xlfn.XLOOKUP($A174,'Raw Data'!$G:$G,'Raw Data'!AD:AD),"")</f>
        <v/>
      </c>
      <c r="L174" s="104" t="str">
        <f>IFERROR(_xlfn.XLOOKUP($A174,'Raw Data'!$G:$G,'Raw Data'!AE:AE),"")</f>
        <v/>
      </c>
      <c r="M174" s="104" t="str">
        <f>IFERROR(_xlfn.XLOOKUP($A174,'Raw Data'!$G:$G,'Raw Data'!AF:AF),"")</f>
        <v/>
      </c>
      <c r="N174" s="104" t="str">
        <f>IFERROR(_xlfn.XLOOKUP($A174,'Raw Data'!$G:$G,'Raw Data'!AG:AG),"")</f>
        <v/>
      </c>
      <c r="O174" s="105" t="str">
        <f>IFERROR(1-SUMIF('Plant BD'!$B:$B,$A174,'Plant BD'!$AM:$AM)/($AA174+SUMIF('Plant BD'!$B:$B,$A174,'Plant BD'!$AM:$AM)),"")</f>
        <v/>
      </c>
      <c r="P174" s="105"/>
      <c r="Q174" s="106"/>
      <c r="R174" s="105" t="str">
        <f>IFERROR(1-SUMIF('Grid BD'!$B:$B,$A174,'Grid BD'!$AE:$AE)/($AA174+SUMIF('Grid BD'!$B:$B,$A174,'Grid BD'!$AE:$AE)),"")</f>
        <v/>
      </c>
      <c r="T174" s="106"/>
      <c r="U174" s="107" t="str">
        <f t="shared" si="9"/>
        <v/>
      </c>
      <c r="V174" s="107"/>
      <c r="W174" s="108" t="str">
        <f t="shared" si="10"/>
        <v/>
      </c>
      <c r="X174" s="101" t="str">
        <f>IFERROR(_xlfn.XLOOKUP($A174,'Raw Data'!$G:$G,'Raw Data'!AI:AI),"")</f>
        <v/>
      </c>
      <c r="Y174" s="101" t="str">
        <f>IFERROR(_xlfn.XLOOKUP($A174,'Raw Data'!$G:$G,'Raw Data'!AJ:AJ),"")</f>
        <v/>
      </c>
      <c r="Z174" s="101" t="str">
        <f>IFERROR(_xlfn.XLOOKUP($A174,'Raw Data'!$G:$G,'Raw Data'!AK:AK),"")</f>
        <v/>
      </c>
      <c r="AA174" s="101" t="str">
        <f>IFERROR(_xlfn.XLOOKUP($A174,'Raw Data'!$G:$G,'Raw Data'!$AL:$AL)*(1+(_xlfn.XLOOKUP(Table13[[#This Row],[Month Year]],JMR!$A:$A,JMR!$J:$J))),"")</f>
        <v/>
      </c>
      <c r="AB174" s="101" t="str">
        <f>IFERROR(_xlfn.XLOOKUP($A174,'Raw Data'!$G:$G,'Raw Data'!H:H),"")</f>
        <v/>
      </c>
      <c r="AC174" s="67">
        <f>IFERROR(_xlfn.XLOOKUP($D174,'Modelling New'!$D:$D,'Modelling New'!P:P),"")</f>
        <v>4.8466666666666667</v>
      </c>
      <c r="AD174" s="101">
        <f>IFERROR(_xlfn.XLOOKUP($D174,'Modelling New'!$D:$D,'Modelling New'!$T:$T)*1000,"")</f>
        <v>27099.030800071054</v>
      </c>
      <c r="AE174" s="109">
        <f>IFERROR(_xlfn.XLOOKUP($D174,'Modelling New'!$D:$D,'Modelling New'!O:O),"")</f>
        <v>0.69708783670793795</v>
      </c>
      <c r="AF174" s="108">
        <f>IFERROR(_xlfn.XLOOKUP($D174,'Modelling New'!$D:$D,'Modelling New'!W:W),"")</f>
        <v>0.14077301591296412</v>
      </c>
      <c r="AG174" s="108">
        <f>IFERROR(_xlfn.XLOOKUP($D174,'Modelling New'!$D:$D,'Modelling New'!AE:AE),"")</f>
        <v>0.98040000000000005</v>
      </c>
      <c r="AH174" s="128">
        <f>IFERROR(_xlfn.XLOOKUP($D174,'Modelling New'!$D:$D,'Modelling New'!AF:AF),"")</f>
        <v>0.98</v>
      </c>
      <c r="AN174" s="105"/>
      <c r="AO174" s="108"/>
      <c r="AP174" s="108"/>
      <c r="AQ174" s="108"/>
      <c r="AR174" s="101">
        <f>'Basic Data'!$B$98/1000</f>
        <v>8.0208999999999993</v>
      </c>
      <c r="AT174" s="7" t="str">
        <f>IFERROR(_xlfn.XLOOKUP(Table13[[#This Row],[Date]],'Raw Data'!$G:$G,'Raw Data'!$AN:$AN),"")</f>
        <v/>
      </c>
      <c r="AU174" s="7">
        <f>IFERROR(_xlfn.XLOOKUP(Table13[[#This Row],[Month Year]],'Modelling New'!$D:$D,'Modelling New'!$AO:$AO),"")</f>
        <v>8</v>
      </c>
      <c r="AV174" s="7">
        <f>SUMIF('Curtailment Records'!$C:$C,Table13[[#This Row],[Date]],'Curtailment Records'!$R:$R)/1000</f>
        <v>0</v>
      </c>
    </row>
    <row r="175" spans="1:48" x14ac:dyDescent="0.3">
      <c r="A175" s="100">
        <f t="shared" si="11"/>
        <v>45918</v>
      </c>
      <c r="B175" s="101">
        <f>YEAR(Table13[[#This Row],[Date]])+IF(MONTH(Table13[[#This Row],[Date]])&gt;=4,1,0)</f>
        <v>2026</v>
      </c>
      <c r="C175" s="7">
        <f>YEAR(Table13[[#This Row],[Date]])</f>
        <v>2025</v>
      </c>
      <c r="D175" s="102">
        <f>Table13[[#This Row],[Date]]-DAY(Table13[[#This Row],[Date]])+1</f>
        <v>45901</v>
      </c>
      <c r="E175" s="7">
        <f t="shared" si="8"/>
        <v>30</v>
      </c>
      <c r="F175" s="103" t="str">
        <f>IFERROR(_xlfn.XLOOKUP($A175,'Raw Data'!$G:$G,'Raw Data'!$AM:$AM),"")</f>
        <v/>
      </c>
      <c r="G175" s="104" t="str">
        <f>IFERROR(_xlfn.XLOOKUP($A175,'Raw Data'!$G:$G,'Raw Data'!$AB:$AB),"")</f>
        <v/>
      </c>
      <c r="H175" s="104"/>
      <c r="I175" s="104" t="str">
        <f>IFERROR(_xlfn.XLOOKUP($A175,'Raw Data'!$G:$G,'Raw Data'!$AC:$AC),"")</f>
        <v/>
      </c>
      <c r="J175" s="104"/>
      <c r="K175" s="104" t="str">
        <f>IFERROR(_xlfn.XLOOKUP($A175,'Raw Data'!$G:$G,'Raw Data'!AD:AD),"")</f>
        <v/>
      </c>
      <c r="L175" s="104" t="str">
        <f>IFERROR(_xlfn.XLOOKUP($A175,'Raw Data'!$G:$G,'Raw Data'!AE:AE),"")</f>
        <v/>
      </c>
      <c r="M175" s="104" t="str">
        <f>IFERROR(_xlfn.XLOOKUP($A175,'Raw Data'!$G:$G,'Raw Data'!AF:AF),"")</f>
        <v/>
      </c>
      <c r="N175" s="104" t="str">
        <f>IFERROR(_xlfn.XLOOKUP($A175,'Raw Data'!$G:$G,'Raw Data'!AG:AG),"")</f>
        <v/>
      </c>
      <c r="O175" s="105" t="str">
        <f>IFERROR(1-SUMIF('Plant BD'!$B:$B,$A175,'Plant BD'!$AM:$AM)/($AA175+SUMIF('Plant BD'!$B:$B,$A175,'Plant BD'!$AM:$AM)),"")</f>
        <v/>
      </c>
      <c r="P175" s="105"/>
      <c r="Q175" s="106"/>
      <c r="R175" s="105" t="str">
        <f>IFERROR(1-SUMIF('Grid BD'!$B:$B,$A175,'Grid BD'!$AE:$AE)/($AA175+SUMIF('Grid BD'!$B:$B,$A175,'Grid BD'!$AE:$AE)),"")</f>
        <v/>
      </c>
      <c r="T175" s="106"/>
      <c r="U175" s="107" t="str">
        <f t="shared" si="9"/>
        <v/>
      </c>
      <c r="V175" s="107"/>
      <c r="W175" s="108" t="str">
        <f t="shared" si="10"/>
        <v/>
      </c>
      <c r="X175" s="101" t="str">
        <f>IFERROR(_xlfn.XLOOKUP($A175,'Raw Data'!$G:$G,'Raw Data'!AI:AI),"")</f>
        <v/>
      </c>
      <c r="Y175" s="101" t="str">
        <f>IFERROR(_xlfn.XLOOKUP($A175,'Raw Data'!$G:$G,'Raw Data'!AJ:AJ),"")</f>
        <v/>
      </c>
      <c r="Z175" s="101" t="str">
        <f>IFERROR(_xlfn.XLOOKUP($A175,'Raw Data'!$G:$G,'Raw Data'!AK:AK),"")</f>
        <v/>
      </c>
      <c r="AA175" s="101" t="str">
        <f>IFERROR(_xlfn.XLOOKUP($A175,'Raw Data'!$G:$G,'Raw Data'!$AL:$AL)*(1+(_xlfn.XLOOKUP(Table13[[#This Row],[Month Year]],JMR!$A:$A,JMR!$J:$J))),"")</f>
        <v/>
      </c>
      <c r="AB175" s="101" t="str">
        <f>IFERROR(_xlfn.XLOOKUP($A175,'Raw Data'!$G:$G,'Raw Data'!H:H),"")</f>
        <v/>
      </c>
      <c r="AC175" s="67">
        <f>IFERROR(_xlfn.XLOOKUP($D175,'Modelling New'!$D:$D,'Modelling New'!P:P),"")</f>
        <v>4.8466666666666667</v>
      </c>
      <c r="AD175" s="101">
        <f>IFERROR(_xlfn.XLOOKUP($D175,'Modelling New'!$D:$D,'Modelling New'!$T:$T)*1000,"")</f>
        <v>27099.030800071054</v>
      </c>
      <c r="AE175" s="109">
        <f>IFERROR(_xlfn.XLOOKUP($D175,'Modelling New'!$D:$D,'Modelling New'!O:O),"")</f>
        <v>0.69708783670793795</v>
      </c>
      <c r="AF175" s="108">
        <f>IFERROR(_xlfn.XLOOKUP($D175,'Modelling New'!$D:$D,'Modelling New'!W:W),"")</f>
        <v>0.14077301591296412</v>
      </c>
      <c r="AG175" s="108">
        <f>IFERROR(_xlfn.XLOOKUP($D175,'Modelling New'!$D:$D,'Modelling New'!AE:AE),"")</f>
        <v>0.98040000000000005</v>
      </c>
      <c r="AH175" s="128">
        <f>IFERROR(_xlfn.XLOOKUP($D175,'Modelling New'!$D:$D,'Modelling New'!AF:AF),"")</f>
        <v>0.98</v>
      </c>
      <c r="AN175" s="105"/>
      <c r="AO175" s="108"/>
      <c r="AP175" s="108"/>
      <c r="AQ175" s="108"/>
      <c r="AR175" s="101">
        <f>'Basic Data'!$B$98/1000</f>
        <v>8.0208999999999993</v>
      </c>
      <c r="AT175" s="7" t="str">
        <f>IFERROR(_xlfn.XLOOKUP(Table13[[#This Row],[Date]],'Raw Data'!$G:$G,'Raw Data'!$AN:$AN),"")</f>
        <v/>
      </c>
      <c r="AU175" s="7">
        <f>IFERROR(_xlfn.XLOOKUP(Table13[[#This Row],[Month Year]],'Modelling New'!$D:$D,'Modelling New'!$AO:$AO),"")</f>
        <v>8</v>
      </c>
      <c r="AV175" s="7">
        <f>SUMIF('Curtailment Records'!$C:$C,Table13[[#This Row],[Date]],'Curtailment Records'!$R:$R)/1000</f>
        <v>0</v>
      </c>
    </row>
    <row r="176" spans="1:48" x14ac:dyDescent="0.3">
      <c r="A176" s="100">
        <f t="shared" si="11"/>
        <v>45919</v>
      </c>
      <c r="B176" s="101">
        <f>YEAR(Table13[[#This Row],[Date]])+IF(MONTH(Table13[[#This Row],[Date]])&gt;=4,1,0)</f>
        <v>2026</v>
      </c>
      <c r="C176" s="7">
        <f>YEAR(Table13[[#This Row],[Date]])</f>
        <v>2025</v>
      </c>
      <c r="D176" s="102">
        <f>Table13[[#This Row],[Date]]-DAY(Table13[[#This Row],[Date]])+1</f>
        <v>45901</v>
      </c>
      <c r="E176" s="7">
        <f t="shared" si="8"/>
        <v>30</v>
      </c>
      <c r="F176" s="103" t="str">
        <f>IFERROR(_xlfn.XLOOKUP($A176,'Raw Data'!$G:$G,'Raw Data'!$AM:$AM),"")</f>
        <v/>
      </c>
      <c r="G176" s="104" t="str">
        <f>IFERROR(_xlfn.XLOOKUP($A176,'Raw Data'!$G:$G,'Raw Data'!$AB:$AB),"")</f>
        <v/>
      </c>
      <c r="H176" s="104"/>
      <c r="I176" s="104" t="str">
        <f>IFERROR(_xlfn.XLOOKUP($A176,'Raw Data'!$G:$G,'Raw Data'!$AC:$AC),"")</f>
        <v/>
      </c>
      <c r="J176" s="104"/>
      <c r="K176" s="104" t="str">
        <f>IFERROR(_xlfn.XLOOKUP($A176,'Raw Data'!$G:$G,'Raw Data'!AD:AD),"")</f>
        <v/>
      </c>
      <c r="L176" s="104" t="str">
        <f>IFERROR(_xlfn.XLOOKUP($A176,'Raw Data'!$G:$G,'Raw Data'!AE:AE),"")</f>
        <v/>
      </c>
      <c r="M176" s="104" t="str">
        <f>IFERROR(_xlfn.XLOOKUP($A176,'Raw Data'!$G:$G,'Raw Data'!AF:AF),"")</f>
        <v/>
      </c>
      <c r="N176" s="104" t="str">
        <f>IFERROR(_xlfn.XLOOKUP($A176,'Raw Data'!$G:$G,'Raw Data'!AG:AG),"")</f>
        <v/>
      </c>
      <c r="O176" s="105" t="str">
        <f>IFERROR(1-SUMIF('Plant BD'!$B:$B,$A176,'Plant BD'!$AM:$AM)/($AA176+SUMIF('Plant BD'!$B:$B,$A176,'Plant BD'!$AM:$AM)),"")</f>
        <v/>
      </c>
      <c r="P176" s="105"/>
      <c r="Q176" s="106"/>
      <c r="R176" s="105" t="str">
        <f>IFERROR(1-SUMIF('Grid BD'!$B:$B,$A176,'Grid BD'!$AE:$AE)/($AA176+SUMIF('Grid BD'!$B:$B,$A176,'Grid BD'!$AE:$AE)),"")</f>
        <v/>
      </c>
      <c r="T176" s="106"/>
      <c r="U176" s="107" t="str">
        <f t="shared" si="9"/>
        <v/>
      </c>
      <c r="V176" s="107"/>
      <c r="W176" s="108" t="str">
        <f t="shared" si="10"/>
        <v/>
      </c>
      <c r="X176" s="101" t="str">
        <f>IFERROR(_xlfn.XLOOKUP($A176,'Raw Data'!$G:$G,'Raw Data'!AI:AI),"")</f>
        <v/>
      </c>
      <c r="Y176" s="101" t="str">
        <f>IFERROR(_xlfn.XLOOKUP($A176,'Raw Data'!$G:$G,'Raw Data'!AJ:AJ),"")</f>
        <v/>
      </c>
      <c r="Z176" s="101" t="str">
        <f>IFERROR(_xlfn.XLOOKUP($A176,'Raw Data'!$G:$G,'Raw Data'!AK:AK),"")</f>
        <v/>
      </c>
      <c r="AA176" s="101" t="str">
        <f>IFERROR(_xlfn.XLOOKUP($A176,'Raw Data'!$G:$G,'Raw Data'!$AL:$AL)*(1+(_xlfn.XLOOKUP(Table13[[#This Row],[Month Year]],JMR!$A:$A,JMR!$J:$J))),"")</f>
        <v/>
      </c>
      <c r="AB176" s="101" t="str">
        <f>IFERROR(_xlfn.XLOOKUP($A176,'Raw Data'!$G:$G,'Raw Data'!H:H),"")</f>
        <v/>
      </c>
      <c r="AC176" s="67">
        <f>IFERROR(_xlfn.XLOOKUP($D176,'Modelling New'!$D:$D,'Modelling New'!P:P),"")</f>
        <v>4.8466666666666667</v>
      </c>
      <c r="AD176" s="101">
        <f>IFERROR(_xlfn.XLOOKUP($D176,'Modelling New'!$D:$D,'Modelling New'!$T:$T)*1000,"")</f>
        <v>27099.030800071054</v>
      </c>
      <c r="AE176" s="109">
        <f>IFERROR(_xlfn.XLOOKUP($D176,'Modelling New'!$D:$D,'Modelling New'!O:O),"")</f>
        <v>0.69708783670793795</v>
      </c>
      <c r="AF176" s="108">
        <f>IFERROR(_xlfn.XLOOKUP($D176,'Modelling New'!$D:$D,'Modelling New'!W:W),"")</f>
        <v>0.14077301591296412</v>
      </c>
      <c r="AG176" s="108">
        <f>IFERROR(_xlfn.XLOOKUP($D176,'Modelling New'!$D:$D,'Modelling New'!AE:AE),"")</f>
        <v>0.98040000000000005</v>
      </c>
      <c r="AH176" s="128">
        <f>IFERROR(_xlfn.XLOOKUP($D176,'Modelling New'!$D:$D,'Modelling New'!AF:AF),"")</f>
        <v>0.98</v>
      </c>
      <c r="AN176" s="105"/>
      <c r="AO176" s="108"/>
      <c r="AP176" s="108"/>
      <c r="AQ176" s="108"/>
      <c r="AR176" s="101">
        <f>'Basic Data'!$B$98/1000</f>
        <v>8.0208999999999993</v>
      </c>
      <c r="AT176" s="7" t="str">
        <f>IFERROR(_xlfn.XLOOKUP(Table13[[#This Row],[Date]],'Raw Data'!$G:$G,'Raw Data'!$AN:$AN),"")</f>
        <v/>
      </c>
      <c r="AU176" s="7">
        <f>IFERROR(_xlfn.XLOOKUP(Table13[[#This Row],[Month Year]],'Modelling New'!$D:$D,'Modelling New'!$AO:$AO),"")</f>
        <v>8</v>
      </c>
      <c r="AV176" s="7">
        <f>SUMIF('Curtailment Records'!$C:$C,Table13[[#This Row],[Date]],'Curtailment Records'!$R:$R)/1000</f>
        <v>0</v>
      </c>
    </row>
    <row r="177" spans="1:48" x14ac:dyDescent="0.3">
      <c r="A177" s="100">
        <f t="shared" si="11"/>
        <v>45920</v>
      </c>
      <c r="B177" s="101">
        <f>YEAR(Table13[[#This Row],[Date]])+IF(MONTH(Table13[[#This Row],[Date]])&gt;=4,1,0)</f>
        <v>2026</v>
      </c>
      <c r="C177" s="7">
        <f>YEAR(Table13[[#This Row],[Date]])</f>
        <v>2025</v>
      </c>
      <c r="D177" s="102">
        <f>Table13[[#This Row],[Date]]-DAY(Table13[[#This Row],[Date]])+1</f>
        <v>45901</v>
      </c>
      <c r="E177" s="7">
        <f t="shared" si="8"/>
        <v>30</v>
      </c>
      <c r="F177" s="103" t="str">
        <f>IFERROR(_xlfn.XLOOKUP($A177,'Raw Data'!$G:$G,'Raw Data'!$AM:$AM),"")</f>
        <v/>
      </c>
      <c r="G177" s="104" t="str">
        <f>IFERROR(_xlfn.XLOOKUP($A177,'Raw Data'!$G:$G,'Raw Data'!$AB:$AB),"")</f>
        <v/>
      </c>
      <c r="H177" s="104"/>
      <c r="I177" s="104" t="str">
        <f>IFERROR(_xlfn.XLOOKUP($A177,'Raw Data'!$G:$G,'Raw Data'!$AC:$AC),"")</f>
        <v/>
      </c>
      <c r="J177" s="104"/>
      <c r="K177" s="104" t="str">
        <f>IFERROR(_xlfn.XLOOKUP($A177,'Raw Data'!$G:$G,'Raw Data'!AD:AD),"")</f>
        <v/>
      </c>
      <c r="L177" s="104" t="str">
        <f>IFERROR(_xlfn.XLOOKUP($A177,'Raw Data'!$G:$G,'Raw Data'!AE:AE),"")</f>
        <v/>
      </c>
      <c r="M177" s="104" t="str">
        <f>IFERROR(_xlfn.XLOOKUP($A177,'Raw Data'!$G:$G,'Raw Data'!AF:AF),"")</f>
        <v/>
      </c>
      <c r="N177" s="104" t="str">
        <f>IFERROR(_xlfn.XLOOKUP($A177,'Raw Data'!$G:$G,'Raw Data'!AG:AG),"")</f>
        <v/>
      </c>
      <c r="O177" s="105" t="str">
        <f>IFERROR(1-SUMIF('Plant BD'!$B:$B,$A177,'Plant BD'!$AM:$AM)/($AA177+SUMIF('Plant BD'!$B:$B,$A177,'Plant BD'!$AM:$AM)),"")</f>
        <v/>
      </c>
      <c r="P177" s="105"/>
      <c r="Q177" s="106"/>
      <c r="R177" s="105" t="str">
        <f>IFERROR(1-SUMIF('Grid BD'!$B:$B,$A177,'Grid BD'!$AE:$AE)/($AA177+SUMIF('Grid BD'!$B:$B,$A177,'Grid BD'!$AE:$AE)),"")</f>
        <v/>
      </c>
      <c r="T177" s="106"/>
      <c r="U177" s="107" t="str">
        <f t="shared" si="9"/>
        <v/>
      </c>
      <c r="V177" s="107"/>
      <c r="W177" s="108" t="str">
        <f t="shared" si="10"/>
        <v/>
      </c>
      <c r="X177" s="101" t="str">
        <f>IFERROR(_xlfn.XLOOKUP($A177,'Raw Data'!$G:$G,'Raw Data'!AI:AI),"")</f>
        <v/>
      </c>
      <c r="Y177" s="101" t="str">
        <f>IFERROR(_xlfn.XLOOKUP($A177,'Raw Data'!$G:$G,'Raw Data'!AJ:AJ),"")</f>
        <v/>
      </c>
      <c r="Z177" s="101" t="str">
        <f>IFERROR(_xlfn.XLOOKUP($A177,'Raw Data'!$G:$G,'Raw Data'!AK:AK),"")</f>
        <v/>
      </c>
      <c r="AA177" s="101" t="str">
        <f>IFERROR(_xlfn.XLOOKUP($A177,'Raw Data'!$G:$G,'Raw Data'!$AL:$AL)*(1+(_xlfn.XLOOKUP(Table13[[#This Row],[Month Year]],JMR!$A:$A,JMR!$J:$J))),"")</f>
        <v/>
      </c>
      <c r="AB177" s="101" t="str">
        <f>IFERROR(_xlfn.XLOOKUP($A177,'Raw Data'!$G:$G,'Raw Data'!H:H),"")</f>
        <v/>
      </c>
      <c r="AC177" s="67">
        <f>IFERROR(_xlfn.XLOOKUP($D177,'Modelling New'!$D:$D,'Modelling New'!P:P),"")</f>
        <v>4.8466666666666667</v>
      </c>
      <c r="AD177" s="101">
        <f>IFERROR(_xlfn.XLOOKUP($D177,'Modelling New'!$D:$D,'Modelling New'!$T:$T)*1000,"")</f>
        <v>27099.030800071054</v>
      </c>
      <c r="AE177" s="109">
        <f>IFERROR(_xlfn.XLOOKUP($D177,'Modelling New'!$D:$D,'Modelling New'!O:O),"")</f>
        <v>0.69708783670793795</v>
      </c>
      <c r="AF177" s="108">
        <f>IFERROR(_xlfn.XLOOKUP($D177,'Modelling New'!$D:$D,'Modelling New'!W:W),"")</f>
        <v>0.14077301591296412</v>
      </c>
      <c r="AG177" s="108">
        <f>IFERROR(_xlfn.XLOOKUP($D177,'Modelling New'!$D:$D,'Modelling New'!AE:AE),"")</f>
        <v>0.98040000000000005</v>
      </c>
      <c r="AH177" s="128">
        <f>IFERROR(_xlfn.XLOOKUP($D177,'Modelling New'!$D:$D,'Modelling New'!AF:AF),"")</f>
        <v>0.98</v>
      </c>
      <c r="AN177" s="105"/>
      <c r="AO177" s="108"/>
      <c r="AP177" s="108"/>
      <c r="AQ177" s="108"/>
      <c r="AR177" s="101">
        <f>'Basic Data'!$B$98/1000</f>
        <v>8.0208999999999993</v>
      </c>
      <c r="AT177" s="7" t="str">
        <f>IFERROR(_xlfn.XLOOKUP(Table13[[#This Row],[Date]],'Raw Data'!$G:$G,'Raw Data'!$AN:$AN),"")</f>
        <v/>
      </c>
      <c r="AU177" s="7">
        <f>IFERROR(_xlfn.XLOOKUP(Table13[[#This Row],[Month Year]],'Modelling New'!$D:$D,'Modelling New'!$AO:$AO),"")</f>
        <v>8</v>
      </c>
      <c r="AV177" s="7">
        <f>SUMIF('Curtailment Records'!$C:$C,Table13[[#This Row],[Date]],'Curtailment Records'!$R:$R)/1000</f>
        <v>0</v>
      </c>
    </row>
    <row r="178" spans="1:48" x14ac:dyDescent="0.3">
      <c r="A178" s="100">
        <f t="shared" si="11"/>
        <v>45921</v>
      </c>
      <c r="B178" s="101">
        <f>YEAR(Table13[[#This Row],[Date]])+IF(MONTH(Table13[[#This Row],[Date]])&gt;=4,1,0)</f>
        <v>2026</v>
      </c>
      <c r="C178" s="7">
        <f>YEAR(Table13[[#This Row],[Date]])</f>
        <v>2025</v>
      </c>
      <c r="D178" s="102">
        <f>Table13[[#This Row],[Date]]-DAY(Table13[[#This Row],[Date]])+1</f>
        <v>45901</v>
      </c>
      <c r="E178" s="7">
        <f t="shared" si="8"/>
        <v>30</v>
      </c>
      <c r="F178" s="103" t="str">
        <f>IFERROR(_xlfn.XLOOKUP($A178,'Raw Data'!$G:$G,'Raw Data'!$AM:$AM),"")</f>
        <v/>
      </c>
      <c r="G178" s="104" t="str">
        <f>IFERROR(_xlfn.XLOOKUP($A178,'Raw Data'!$G:$G,'Raw Data'!$AB:$AB),"")</f>
        <v/>
      </c>
      <c r="H178" s="104"/>
      <c r="I178" s="104" t="str">
        <f>IFERROR(_xlfn.XLOOKUP($A178,'Raw Data'!$G:$G,'Raw Data'!$AC:$AC),"")</f>
        <v/>
      </c>
      <c r="J178" s="104"/>
      <c r="K178" s="104" t="str">
        <f>IFERROR(_xlfn.XLOOKUP($A178,'Raw Data'!$G:$G,'Raw Data'!AD:AD),"")</f>
        <v/>
      </c>
      <c r="L178" s="104" t="str">
        <f>IFERROR(_xlfn.XLOOKUP($A178,'Raw Data'!$G:$G,'Raw Data'!AE:AE),"")</f>
        <v/>
      </c>
      <c r="M178" s="104" t="str">
        <f>IFERROR(_xlfn.XLOOKUP($A178,'Raw Data'!$G:$G,'Raw Data'!AF:AF),"")</f>
        <v/>
      </c>
      <c r="N178" s="104" t="str">
        <f>IFERROR(_xlfn.XLOOKUP($A178,'Raw Data'!$G:$G,'Raw Data'!AG:AG),"")</f>
        <v/>
      </c>
      <c r="O178" s="105" t="str">
        <f>IFERROR(1-SUMIF('Plant BD'!$B:$B,$A178,'Plant BD'!$AM:$AM)/($AA178+SUMIF('Plant BD'!$B:$B,$A178,'Plant BD'!$AM:$AM)),"")</f>
        <v/>
      </c>
      <c r="P178" s="105"/>
      <c r="Q178" s="106"/>
      <c r="R178" s="105" t="str">
        <f>IFERROR(1-SUMIF('Grid BD'!$B:$B,$A178,'Grid BD'!$AE:$AE)/($AA178+SUMIF('Grid BD'!$B:$B,$A178,'Grid BD'!$AE:$AE)),"")</f>
        <v/>
      </c>
      <c r="T178" s="106"/>
      <c r="U178" s="107" t="str">
        <f t="shared" si="9"/>
        <v/>
      </c>
      <c r="V178" s="107"/>
      <c r="W178" s="108" t="str">
        <f t="shared" si="10"/>
        <v/>
      </c>
      <c r="X178" s="101" t="str">
        <f>IFERROR(_xlfn.XLOOKUP($A178,'Raw Data'!$G:$G,'Raw Data'!AI:AI),"")</f>
        <v/>
      </c>
      <c r="Y178" s="101" t="str">
        <f>IFERROR(_xlfn.XLOOKUP($A178,'Raw Data'!$G:$G,'Raw Data'!AJ:AJ),"")</f>
        <v/>
      </c>
      <c r="Z178" s="101" t="str">
        <f>IFERROR(_xlfn.XLOOKUP($A178,'Raw Data'!$G:$G,'Raw Data'!AK:AK),"")</f>
        <v/>
      </c>
      <c r="AA178" s="101" t="str">
        <f>IFERROR(_xlfn.XLOOKUP($A178,'Raw Data'!$G:$G,'Raw Data'!$AL:$AL)*(1+(_xlfn.XLOOKUP(Table13[[#This Row],[Month Year]],JMR!$A:$A,JMR!$J:$J))),"")</f>
        <v/>
      </c>
      <c r="AB178" s="101" t="str">
        <f>IFERROR(_xlfn.XLOOKUP($A178,'Raw Data'!$G:$G,'Raw Data'!H:H),"")</f>
        <v/>
      </c>
      <c r="AC178" s="67">
        <f>IFERROR(_xlfn.XLOOKUP($D178,'Modelling New'!$D:$D,'Modelling New'!P:P),"")</f>
        <v>4.8466666666666667</v>
      </c>
      <c r="AD178" s="101">
        <f>IFERROR(_xlfn.XLOOKUP($D178,'Modelling New'!$D:$D,'Modelling New'!$T:$T)*1000,"")</f>
        <v>27099.030800071054</v>
      </c>
      <c r="AE178" s="109">
        <f>IFERROR(_xlfn.XLOOKUP($D178,'Modelling New'!$D:$D,'Modelling New'!O:O),"")</f>
        <v>0.69708783670793795</v>
      </c>
      <c r="AF178" s="108">
        <f>IFERROR(_xlfn.XLOOKUP($D178,'Modelling New'!$D:$D,'Modelling New'!W:W),"")</f>
        <v>0.14077301591296412</v>
      </c>
      <c r="AG178" s="108">
        <f>IFERROR(_xlfn.XLOOKUP($D178,'Modelling New'!$D:$D,'Modelling New'!AE:AE),"")</f>
        <v>0.98040000000000005</v>
      </c>
      <c r="AH178" s="128">
        <f>IFERROR(_xlfn.XLOOKUP($D178,'Modelling New'!$D:$D,'Modelling New'!AF:AF),"")</f>
        <v>0.98</v>
      </c>
      <c r="AN178" s="105"/>
      <c r="AO178" s="108"/>
      <c r="AP178" s="108"/>
      <c r="AQ178" s="108"/>
      <c r="AR178" s="101">
        <f>'Basic Data'!$B$98/1000</f>
        <v>8.0208999999999993</v>
      </c>
      <c r="AT178" s="7" t="str">
        <f>IFERROR(_xlfn.XLOOKUP(Table13[[#This Row],[Date]],'Raw Data'!$G:$G,'Raw Data'!$AN:$AN),"")</f>
        <v/>
      </c>
      <c r="AU178" s="7">
        <f>IFERROR(_xlfn.XLOOKUP(Table13[[#This Row],[Month Year]],'Modelling New'!$D:$D,'Modelling New'!$AO:$AO),"")</f>
        <v>8</v>
      </c>
      <c r="AV178" s="7">
        <f>SUMIF('Curtailment Records'!$C:$C,Table13[[#This Row],[Date]],'Curtailment Records'!$R:$R)/1000</f>
        <v>0</v>
      </c>
    </row>
    <row r="179" spans="1:48" x14ac:dyDescent="0.3">
      <c r="A179" s="100">
        <f t="shared" si="11"/>
        <v>45922</v>
      </c>
      <c r="B179" s="101">
        <f>YEAR(Table13[[#This Row],[Date]])+IF(MONTH(Table13[[#This Row],[Date]])&gt;=4,1,0)</f>
        <v>2026</v>
      </c>
      <c r="C179" s="7">
        <f>YEAR(Table13[[#This Row],[Date]])</f>
        <v>2025</v>
      </c>
      <c r="D179" s="102">
        <f>Table13[[#This Row],[Date]]-DAY(Table13[[#This Row],[Date]])+1</f>
        <v>45901</v>
      </c>
      <c r="E179" s="7">
        <f t="shared" si="8"/>
        <v>30</v>
      </c>
      <c r="F179" s="103" t="str">
        <f>IFERROR(_xlfn.XLOOKUP($A179,'Raw Data'!$G:$G,'Raw Data'!$AM:$AM),"")</f>
        <v/>
      </c>
      <c r="G179" s="104" t="str">
        <f>IFERROR(_xlfn.XLOOKUP($A179,'Raw Data'!$G:$G,'Raw Data'!$AB:$AB),"")</f>
        <v/>
      </c>
      <c r="H179" s="104"/>
      <c r="I179" s="104" t="str">
        <f>IFERROR(_xlfn.XLOOKUP($A179,'Raw Data'!$G:$G,'Raw Data'!$AC:$AC),"")</f>
        <v/>
      </c>
      <c r="J179" s="104"/>
      <c r="K179" s="104" t="str">
        <f>IFERROR(_xlfn.XLOOKUP($A179,'Raw Data'!$G:$G,'Raw Data'!AD:AD),"")</f>
        <v/>
      </c>
      <c r="L179" s="104" t="str">
        <f>IFERROR(_xlfn.XLOOKUP($A179,'Raw Data'!$G:$G,'Raw Data'!AE:AE),"")</f>
        <v/>
      </c>
      <c r="M179" s="104" t="str">
        <f>IFERROR(_xlfn.XLOOKUP($A179,'Raw Data'!$G:$G,'Raw Data'!AF:AF),"")</f>
        <v/>
      </c>
      <c r="N179" s="104" t="str">
        <f>IFERROR(_xlfn.XLOOKUP($A179,'Raw Data'!$G:$G,'Raw Data'!AG:AG),"")</f>
        <v/>
      </c>
      <c r="O179" s="105" t="str">
        <f>IFERROR(1-SUMIF('Plant BD'!$B:$B,$A179,'Plant BD'!$AM:$AM)/($AA179+SUMIF('Plant BD'!$B:$B,$A179,'Plant BD'!$AM:$AM)),"")</f>
        <v/>
      </c>
      <c r="P179" s="105"/>
      <c r="Q179" s="106"/>
      <c r="R179" s="105" t="str">
        <f>IFERROR(1-SUMIF('Grid BD'!$B:$B,$A179,'Grid BD'!$AE:$AE)/($AA179+SUMIF('Grid BD'!$B:$B,$A179,'Grid BD'!$AE:$AE)),"")</f>
        <v/>
      </c>
      <c r="T179" s="106"/>
      <c r="U179" s="107" t="str">
        <f t="shared" si="9"/>
        <v/>
      </c>
      <c r="V179" s="107"/>
      <c r="W179" s="108" t="str">
        <f t="shared" si="10"/>
        <v/>
      </c>
      <c r="X179" s="101" t="str">
        <f>IFERROR(_xlfn.XLOOKUP($A179,'Raw Data'!$G:$G,'Raw Data'!AI:AI),"")</f>
        <v/>
      </c>
      <c r="Y179" s="101" t="str">
        <f>IFERROR(_xlfn.XLOOKUP($A179,'Raw Data'!$G:$G,'Raw Data'!AJ:AJ),"")</f>
        <v/>
      </c>
      <c r="Z179" s="101" t="str">
        <f>IFERROR(_xlfn.XLOOKUP($A179,'Raw Data'!$G:$G,'Raw Data'!AK:AK),"")</f>
        <v/>
      </c>
      <c r="AA179" s="101" t="str">
        <f>IFERROR(_xlfn.XLOOKUP($A179,'Raw Data'!$G:$G,'Raw Data'!$AL:$AL)*(1+(_xlfn.XLOOKUP(Table13[[#This Row],[Month Year]],JMR!$A:$A,JMR!$J:$J))),"")</f>
        <v/>
      </c>
      <c r="AB179" s="101" t="str">
        <f>IFERROR(_xlfn.XLOOKUP($A179,'Raw Data'!$G:$G,'Raw Data'!H:H),"")</f>
        <v/>
      </c>
      <c r="AC179" s="67">
        <f>IFERROR(_xlfn.XLOOKUP($D179,'Modelling New'!$D:$D,'Modelling New'!P:P),"")</f>
        <v>4.8466666666666667</v>
      </c>
      <c r="AD179" s="101">
        <f>IFERROR(_xlfn.XLOOKUP($D179,'Modelling New'!$D:$D,'Modelling New'!$T:$T)*1000,"")</f>
        <v>27099.030800071054</v>
      </c>
      <c r="AE179" s="109">
        <f>IFERROR(_xlfn.XLOOKUP($D179,'Modelling New'!$D:$D,'Modelling New'!O:O),"")</f>
        <v>0.69708783670793795</v>
      </c>
      <c r="AF179" s="108">
        <f>IFERROR(_xlfn.XLOOKUP($D179,'Modelling New'!$D:$D,'Modelling New'!W:W),"")</f>
        <v>0.14077301591296412</v>
      </c>
      <c r="AG179" s="108">
        <f>IFERROR(_xlfn.XLOOKUP($D179,'Modelling New'!$D:$D,'Modelling New'!AE:AE),"")</f>
        <v>0.98040000000000005</v>
      </c>
      <c r="AH179" s="128">
        <f>IFERROR(_xlfn.XLOOKUP($D179,'Modelling New'!$D:$D,'Modelling New'!AF:AF),"")</f>
        <v>0.98</v>
      </c>
      <c r="AN179" s="105"/>
      <c r="AO179" s="108"/>
      <c r="AP179" s="108"/>
      <c r="AQ179" s="108"/>
      <c r="AR179" s="101">
        <f>'Basic Data'!$B$98/1000</f>
        <v>8.0208999999999993</v>
      </c>
      <c r="AT179" s="7" t="str">
        <f>IFERROR(_xlfn.XLOOKUP(Table13[[#This Row],[Date]],'Raw Data'!$G:$G,'Raw Data'!$AN:$AN),"")</f>
        <v/>
      </c>
      <c r="AU179" s="7">
        <f>IFERROR(_xlfn.XLOOKUP(Table13[[#This Row],[Month Year]],'Modelling New'!$D:$D,'Modelling New'!$AO:$AO),"")</f>
        <v>8</v>
      </c>
      <c r="AV179" s="7">
        <f>SUMIF('Curtailment Records'!$C:$C,Table13[[#This Row],[Date]],'Curtailment Records'!$R:$R)/1000</f>
        <v>0</v>
      </c>
    </row>
    <row r="180" spans="1:48" x14ac:dyDescent="0.3">
      <c r="A180" s="100">
        <f t="shared" si="11"/>
        <v>45923</v>
      </c>
      <c r="B180" s="101">
        <f>YEAR(Table13[[#This Row],[Date]])+IF(MONTH(Table13[[#This Row],[Date]])&gt;=4,1,0)</f>
        <v>2026</v>
      </c>
      <c r="C180" s="7">
        <f>YEAR(Table13[[#This Row],[Date]])</f>
        <v>2025</v>
      </c>
      <c r="D180" s="102">
        <f>Table13[[#This Row],[Date]]-DAY(Table13[[#This Row],[Date]])+1</f>
        <v>45901</v>
      </c>
      <c r="E180" s="7">
        <f t="shared" si="8"/>
        <v>30</v>
      </c>
      <c r="F180" s="103" t="str">
        <f>IFERROR(_xlfn.XLOOKUP($A180,'Raw Data'!$G:$G,'Raw Data'!$AM:$AM),"")</f>
        <v/>
      </c>
      <c r="G180" s="104" t="str">
        <f>IFERROR(_xlfn.XLOOKUP($A180,'Raw Data'!$G:$G,'Raw Data'!$AB:$AB),"")</f>
        <v/>
      </c>
      <c r="H180" s="104"/>
      <c r="I180" s="104" t="str">
        <f>IFERROR(_xlfn.XLOOKUP($A180,'Raw Data'!$G:$G,'Raw Data'!$AC:$AC),"")</f>
        <v/>
      </c>
      <c r="J180" s="104"/>
      <c r="K180" s="104" t="str">
        <f>IFERROR(_xlfn.XLOOKUP($A180,'Raw Data'!$G:$G,'Raw Data'!AD:AD),"")</f>
        <v/>
      </c>
      <c r="L180" s="104" t="str">
        <f>IFERROR(_xlfn.XLOOKUP($A180,'Raw Data'!$G:$G,'Raw Data'!AE:AE),"")</f>
        <v/>
      </c>
      <c r="M180" s="104" t="str">
        <f>IFERROR(_xlfn.XLOOKUP($A180,'Raw Data'!$G:$G,'Raw Data'!AF:AF),"")</f>
        <v/>
      </c>
      <c r="N180" s="104" t="str">
        <f>IFERROR(_xlfn.XLOOKUP($A180,'Raw Data'!$G:$G,'Raw Data'!AG:AG),"")</f>
        <v/>
      </c>
      <c r="O180" s="105" t="str">
        <f>IFERROR(1-SUMIF('Plant BD'!$B:$B,$A180,'Plant BD'!$AM:$AM)/($AA180+SUMIF('Plant BD'!$B:$B,$A180,'Plant BD'!$AM:$AM)),"")</f>
        <v/>
      </c>
      <c r="P180" s="105"/>
      <c r="Q180" s="106"/>
      <c r="R180" s="105" t="str">
        <f>IFERROR(1-SUMIF('Grid BD'!$B:$B,$A180,'Grid BD'!$AE:$AE)/($AA180+SUMIF('Grid BD'!$B:$B,$A180,'Grid BD'!$AE:$AE)),"")</f>
        <v/>
      </c>
      <c r="T180" s="106"/>
      <c r="U180" s="107" t="str">
        <f t="shared" si="9"/>
        <v/>
      </c>
      <c r="V180" s="107"/>
      <c r="W180" s="108" t="str">
        <f t="shared" si="10"/>
        <v/>
      </c>
      <c r="X180" s="101" t="str">
        <f>IFERROR(_xlfn.XLOOKUP($A180,'Raw Data'!$G:$G,'Raw Data'!AI:AI),"")</f>
        <v/>
      </c>
      <c r="Y180" s="101" t="str">
        <f>IFERROR(_xlfn.XLOOKUP($A180,'Raw Data'!$G:$G,'Raw Data'!AJ:AJ),"")</f>
        <v/>
      </c>
      <c r="Z180" s="101" t="str">
        <f>IFERROR(_xlfn.XLOOKUP($A180,'Raw Data'!$G:$G,'Raw Data'!AK:AK),"")</f>
        <v/>
      </c>
      <c r="AA180" s="101" t="str">
        <f>IFERROR(_xlfn.XLOOKUP($A180,'Raw Data'!$G:$G,'Raw Data'!$AL:$AL)*(1+(_xlfn.XLOOKUP(Table13[[#This Row],[Month Year]],JMR!$A:$A,JMR!$J:$J))),"")</f>
        <v/>
      </c>
      <c r="AB180" s="101" t="str">
        <f>IFERROR(_xlfn.XLOOKUP($A180,'Raw Data'!$G:$G,'Raw Data'!H:H),"")</f>
        <v/>
      </c>
      <c r="AC180" s="67">
        <f>IFERROR(_xlfn.XLOOKUP($D180,'Modelling New'!$D:$D,'Modelling New'!P:P),"")</f>
        <v>4.8466666666666667</v>
      </c>
      <c r="AD180" s="101">
        <f>IFERROR(_xlfn.XLOOKUP($D180,'Modelling New'!$D:$D,'Modelling New'!$T:$T)*1000,"")</f>
        <v>27099.030800071054</v>
      </c>
      <c r="AE180" s="109">
        <f>IFERROR(_xlfn.XLOOKUP($D180,'Modelling New'!$D:$D,'Modelling New'!O:O),"")</f>
        <v>0.69708783670793795</v>
      </c>
      <c r="AF180" s="108">
        <f>IFERROR(_xlfn.XLOOKUP($D180,'Modelling New'!$D:$D,'Modelling New'!W:W),"")</f>
        <v>0.14077301591296412</v>
      </c>
      <c r="AG180" s="108">
        <f>IFERROR(_xlfn.XLOOKUP($D180,'Modelling New'!$D:$D,'Modelling New'!AE:AE),"")</f>
        <v>0.98040000000000005</v>
      </c>
      <c r="AH180" s="128">
        <f>IFERROR(_xlfn.XLOOKUP($D180,'Modelling New'!$D:$D,'Modelling New'!AF:AF),"")</f>
        <v>0.98</v>
      </c>
      <c r="AN180" s="105"/>
      <c r="AO180" s="108"/>
      <c r="AP180" s="108"/>
      <c r="AQ180" s="108"/>
      <c r="AR180" s="101">
        <f>'Basic Data'!$B$98/1000</f>
        <v>8.0208999999999993</v>
      </c>
      <c r="AT180" s="7" t="str">
        <f>IFERROR(_xlfn.XLOOKUP(Table13[[#This Row],[Date]],'Raw Data'!$G:$G,'Raw Data'!$AN:$AN),"")</f>
        <v/>
      </c>
      <c r="AU180" s="7">
        <f>IFERROR(_xlfn.XLOOKUP(Table13[[#This Row],[Month Year]],'Modelling New'!$D:$D,'Modelling New'!$AO:$AO),"")</f>
        <v>8</v>
      </c>
      <c r="AV180" s="7">
        <f>SUMIF('Curtailment Records'!$C:$C,Table13[[#This Row],[Date]],'Curtailment Records'!$R:$R)/1000</f>
        <v>0</v>
      </c>
    </row>
    <row r="181" spans="1:48" x14ac:dyDescent="0.3">
      <c r="A181" s="100">
        <f t="shared" si="11"/>
        <v>45924</v>
      </c>
      <c r="B181" s="101">
        <f>YEAR(Table13[[#This Row],[Date]])+IF(MONTH(Table13[[#This Row],[Date]])&gt;=4,1,0)</f>
        <v>2026</v>
      </c>
      <c r="C181" s="7">
        <f>YEAR(Table13[[#This Row],[Date]])</f>
        <v>2025</v>
      </c>
      <c r="D181" s="102">
        <f>Table13[[#This Row],[Date]]-DAY(Table13[[#This Row],[Date]])+1</f>
        <v>45901</v>
      </c>
      <c r="E181" s="7">
        <f t="shared" ref="E181:E244" si="12">DAY(EOMONTH(A181,0))</f>
        <v>30</v>
      </c>
      <c r="F181" s="103" t="str">
        <f>IFERROR(_xlfn.XLOOKUP($A181,'Raw Data'!$G:$G,'Raw Data'!$AM:$AM),"")</f>
        <v/>
      </c>
      <c r="G181" s="104" t="str">
        <f>IFERROR(_xlfn.XLOOKUP($A181,'Raw Data'!$G:$G,'Raw Data'!$AB:$AB),"")</f>
        <v/>
      </c>
      <c r="H181" s="104"/>
      <c r="I181" s="104" t="str">
        <f>IFERROR(_xlfn.XLOOKUP($A181,'Raw Data'!$G:$G,'Raw Data'!$AC:$AC),"")</f>
        <v/>
      </c>
      <c r="J181" s="104"/>
      <c r="K181" s="104" t="str">
        <f>IFERROR(_xlfn.XLOOKUP($A181,'Raw Data'!$G:$G,'Raw Data'!AD:AD),"")</f>
        <v/>
      </c>
      <c r="L181" s="104" t="str">
        <f>IFERROR(_xlfn.XLOOKUP($A181,'Raw Data'!$G:$G,'Raw Data'!AE:AE),"")</f>
        <v/>
      </c>
      <c r="M181" s="104" t="str">
        <f>IFERROR(_xlfn.XLOOKUP($A181,'Raw Data'!$G:$G,'Raw Data'!AF:AF),"")</f>
        <v/>
      </c>
      <c r="N181" s="104" t="str">
        <f>IFERROR(_xlfn.XLOOKUP($A181,'Raw Data'!$G:$G,'Raw Data'!AG:AG),"")</f>
        <v/>
      </c>
      <c r="O181" s="105" t="str">
        <f>IFERROR(1-SUMIF('Plant BD'!$B:$B,$A181,'Plant BD'!$AM:$AM)/($AA181+SUMIF('Plant BD'!$B:$B,$A181,'Plant BD'!$AM:$AM)),"")</f>
        <v/>
      </c>
      <c r="P181" s="105"/>
      <c r="Q181" s="106"/>
      <c r="R181" s="105" t="str">
        <f>IFERROR(1-SUMIF('Grid BD'!$B:$B,$A181,'Grid BD'!$AE:$AE)/($AA181+SUMIF('Grid BD'!$B:$B,$A181,'Grid BD'!$AE:$AE)),"")</f>
        <v/>
      </c>
      <c r="T181" s="106"/>
      <c r="U181" s="107" t="str">
        <f t="shared" ref="U181:U244" si="13">IFERROR(AA181/I181/AB181/1000,"")</f>
        <v/>
      </c>
      <c r="V181" s="107"/>
      <c r="W181" s="108" t="str">
        <f t="shared" ref="W181:W244" si="14">IFERROR(AA181/(24*AB181*1000),"")</f>
        <v/>
      </c>
      <c r="X181" s="101" t="str">
        <f>IFERROR(_xlfn.XLOOKUP($A181,'Raw Data'!$G:$G,'Raw Data'!AI:AI),"")</f>
        <v/>
      </c>
      <c r="Y181" s="101" t="str">
        <f>IFERROR(_xlfn.XLOOKUP($A181,'Raw Data'!$G:$G,'Raw Data'!AJ:AJ),"")</f>
        <v/>
      </c>
      <c r="Z181" s="101" t="str">
        <f>IFERROR(_xlfn.XLOOKUP($A181,'Raw Data'!$G:$G,'Raw Data'!AK:AK),"")</f>
        <v/>
      </c>
      <c r="AA181" s="101" t="str">
        <f>IFERROR(_xlfn.XLOOKUP($A181,'Raw Data'!$G:$G,'Raw Data'!$AL:$AL)*(1+(_xlfn.XLOOKUP(Table13[[#This Row],[Month Year]],JMR!$A:$A,JMR!$J:$J))),"")</f>
        <v/>
      </c>
      <c r="AB181" s="101" t="str">
        <f>IFERROR(_xlfn.XLOOKUP($A181,'Raw Data'!$G:$G,'Raw Data'!H:H),"")</f>
        <v/>
      </c>
      <c r="AC181" s="67">
        <f>IFERROR(_xlfn.XLOOKUP($D181,'Modelling New'!$D:$D,'Modelling New'!P:P),"")</f>
        <v>4.8466666666666667</v>
      </c>
      <c r="AD181" s="101">
        <f>IFERROR(_xlfn.XLOOKUP($D181,'Modelling New'!$D:$D,'Modelling New'!$T:$T)*1000,"")</f>
        <v>27099.030800071054</v>
      </c>
      <c r="AE181" s="109">
        <f>IFERROR(_xlfn.XLOOKUP($D181,'Modelling New'!$D:$D,'Modelling New'!O:O),"")</f>
        <v>0.69708783670793795</v>
      </c>
      <c r="AF181" s="108">
        <f>IFERROR(_xlfn.XLOOKUP($D181,'Modelling New'!$D:$D,'Modelling New'!W:W),"")</f>
        <v>0.14077301591296412</v>
      </c>
      <c r="AG181" s="108">
        <f>IFERROR(_xlfn.XLOOKUP($D181,'Modelling New'!$D:$D,'Modelling New'!AE:AE),"")</f>
        <v>0.98040000000000005</v>
      </c>
      <c r="AH181" s="128">
        <f>IFERROR(_xlfn.XLOOKUP($D181,'Modelling New'!$D:$D,'Modelling New'!AF:AF),"")</f>
        <v>0.98</v>
      </c>
      <c r="AN181" s="105"/>
      <c r="AO181" s="108"/>
      <c r="AP181" s="108"/>
      <c r="AQ181" s="108"/>
      <c r="AR181" s="101">
        <f>'Basic Data'!$B$98/1000</f>
        <v>8.0208999999999993</v>
      </c>
      <c r="AT181" s="7" t="str">
        <f>IFERROR(_xlfn.XLOOKUP(Table13[[#This Row],[Date]],'Raw Data'!$G:$G,'Raw Data'!$AN:$AN),"")</f>
        <v/>
      </c>
      <c r="AU181" s="7">
        <f>IFERROR(_xlfn.XLOOKUP(Table13[[#This Row],[Month Year]],'Modelling New'!$D:$D,'Modelling New'!$AO:$AO),"")</f>
        <v>8</v>
      </c>
      <c r="AV181" s="7">
        <f>SUMIF('Curtailment Records'!$C:$C,Table13[[#This Row],[Date]],'Curtailment Records'!$R:$R)/1000</f>
        <v>0</v>
      </c>
    </row>
    <row r="182" spans="1:48" x14ac:dyDescent="0.3">
      <c r="A182" s="100">
        <f t="shared" ref="A182:A245" si="15">A181+1</f>
        <v>45925</v>
      </c>
      <c r="B182" s="101">
        <f>YEAR(Table13[[#This Row],[Date]])+IF(MONTH(Table13[[#This Row],[Date]])&gt;=4,1,0)</f>
        <v>2026</v>
      </c>
      <c r="C182" s="7">
        <f>YEAR(Table13[[#This Row],[Date]])</f>
        <v>2025</v>
      </c>
      <c r="D182" s="102">
        <f>Table13[[#This Row],[Date]]-DAY(Table13[[#This Row],[Date]])+1</f>
        <v>45901</v>
      </c>
      <c r="E182" s="7">
        <f t="shared" si="12"/>
        <v>30</v>
      </c>
      <c r="F182" s="103" t="str">
        <f>IFERROR(_xlfn.XLOOKUP($A182,'Raw Data'!$G:$G,'Raw Data'!$AM:$AM),"")</f>
        <v/>
      </c>
      <c r="G182" s="104" t="str">
        <f>IFERROR(_xlfn.XLOOKUP($A182,'Raw Data'!$G:$G,'Raw Data'!$AB:$AB),"")</f>
        <v/>
      </c>
      <c r="H182" s="104"/>
      <c r="I182" s="104" t="str">
        <f>IFERROR(_xlfn.XLOOKUP($A182,'Raw Data'!$G:$G,'Raw Data'!$AC:$AC),"")</f>
        <v/>
      </c>
      <c r="J182" s="104"/>
      <c r="K182" s="104" t="str">
        <f>IFERROR(_xlfn.XLOOKUP($A182,'Raw Data'!$G:$G,'Raw Data'!AD:AD),"")</f>
        <v/>
      </c>
      <c r="L182" s="104" t="str">
        <f>IFERROR(_xlfn.XLOOKUP($A182,'Raw Data'!$G:$G,'Raw Data'!AE:AE),"")</f>
        <v/>
      </c>
      <c r="M182" s="104" t="str">
        <f>IFERROR(_xlfn.XLOOKUP($A182,'Raw Data'!$G:$G,'Raw Data'!AF:AF),"")</f>
        <v/>
      </c>
      <c r="N182" s="104" t="str">
        <f>IFERROR(_xlfn.XLOOKUP($A182,'Raw Data'!$G:$G,'Raw Data'!AG:AG),"")</f>
        <v/>
      </c>
      <c r="O182" s="105" t="str">
        <f>IFERROR(1-SUMIF('Plant BD'!$B:$B,$A182,'Plant BD'!$AM:$AM)/($AA182+SUMIF('Plant BD'!$B:$B,$A182,'Plant BD'!$AM:$AM)),"")</f>
        <v/>
      </c>
      <c r="P182" s="105"/>
      <c r="Q182" s="106"/>
      <c r="R182" s="105" t="str">
        <f>IFERROR(1-SUMIF('Grid BD'!$B:$B,$A182,'Grid BD'!$AE:$AE)/($AA182+SUMIF('Grid BD'!$B:$B,$A182,'Grid BD'!$AE:$AE)),"")</f>
        <v/>
      </c>
      <c r="T182" s="106"/>
      <c r="U182" s="107" t="str">
        <f t="shared" si="13"/>
        <v/>
      </c>
      <c r="V182" s="107"/>
      <c r="W182" s="108" t="str">
        <f t="shared" si="14"/>
        <v/>
      </c>
      <c r="X182" s="101" t="str">
        <f>IFERROR(_xlfn.XLOOKUP($A182,'Raw Data'!$G:$G,'Raw Data'!AI:AI),"")</f>
        <v/>
      </c>
      <c r="Y182" s="101" t="str">
        <f>IFERROR(_xlfn.XLOOKUP($A182,'Raw Data'!$G:$G,'Raw Data'!AJ:AJ),"")</f>
        <v/>
      </c>
      <c r="Z182" s="101" t="str">
        <f>IFERROR(_xlfn.XLOOKUP($A182,'Raw Data'!$G:$G,'Raw Data'!AK:AK),"")</f>
        <v/>
      </c>
      <c r="AA182" s="101" t="str">
        <f>IFERROR(_xlfn.XLOOKUP($A182,'Raw Data'!$G:$G,'Raw Data'!$AL:$AL)*(1+(_xlfn.XLOOKUP(Table13[[#This Row],[Month Year]],JMR!$A:$A,JMR!$J:$J))),"")</f>
        <v/>
      </c>
      <c r="AB182" s="101" t="str">
        <f>IFERROR(_xlfn.XLOOKUP($A182,'Raw Data'!$G:$G,'Raw Data'!H:H),"")</f>
        <v/>
      </c>
      <c r="AC182" s="67">
        <f>IFERROR(_xlfn.XLOOKUP($D182,'Modelling New'!$D:$D,'Modelling New'!P:P),"")</f>
        <v>4.8466666666666667</v>
      </c>
      <c r="AD182" s="101">
        <f>IFERROR(_xlfn.XLOOKUP($D182,'Modelling New'!$D:$D,'Modelling New'!$T:$T)*1000,"")</f>
        <v>27099.030800071054</v>
      </c>
      <c r="AE182" s="109">
        <f>IFERROR(_xlfn.XLOOKUP($D182,'Modelling New'!$D:$D,'Modelling New'!O:O),"")</f>
        <v>0.69708783670793795</v>
      </c>
      <c r="AF182" s="108">
        <f>IFERROR(_xlfn.XLOOKUP($D182,'Modelling New'!$D:$D,'Modelling New'!W:W),"")</f>
        <v>0.14077301591296412</v>
      </c>
      <c r="AG182" s="108">
        <f>IFERROR(_xlfn.XLOOKUP($D182,'Modelling New'!$D:$D,'Modelling New'!AE:AE),"")</f>
        <v>0.98040000000000005</v>
      </c>
      <c r="AH182" s="128">
        <f>IFERROR(_xlfn.XLOOKUP($D182,'Modelling New'!$D:$D,'Modelling New'!AF:AF),"")</f>
        <v>0.98</v>
      </c>
      <c r="AN182" s="105"/>
      <c r="AO182" s="108"/>
      <c r="AP182" s="108"/>
      <c r="AQ182" s="108"/>
      <c r="AR182" s="101">
        <f>'Basic Data'!$B$98/1000</f>
        <v>8.0208999999999993</v>
      </c>
      <c r="AT182" s="7" t="str">
        <f>IFERROR(_xlfn.XLOOKUP(Table13[[#This Row],[Date]],'Raw Data'!$G:$G,'Raw Data'!$AN:$AN),"")</f>
        <v/>
      </c>
      <c r="AU182" s="7">
        <f>IFERROR(_xlfn.XLOOKUP(Table13[[#This Row],[Month Year]],'Modelling New'!$D:$D,'Modelling New'!$AO:$AO),"")</f>
        <v>8</v>
      </c>
      <c r="AV182" s="7">
        <f>SUMIF('Curtailment Records'!$C:$C,Table13[[#This Row],[Date]],'Curtailment Records'!$R:$R)/1000</f>
        <v>0</v>
      </c>
    </row>
    <row r="183" spans="1:48" x14ac:dyDescent="0.3">
      <c r="A183" s="100">
        <f t="shared" si="15"/>
        <v>45926</v>
      </c>
      <c r="B183" s="101">
        <f>YEAR(Table13[[#This Row],[Date]])+IF(MONTH(Table13[[#This Row],[Date]])&gt;=4,1,0)</f>
        <v>2026</v>
      </c>
      <c r="C183" s="7">
        <f>YEAR(Table13[[#This Row],[Date]])</f>
        <v>2025</v>
      </c>
      <c r="D183" s="102">
        <f>Table13[[#This Row],[Date]]-DAY(Table13[[#This Row],[Date]])+1</f>
        <v>45901</v>
      </c>
      <c r="E183" s="7">
        <f t="shared" si="12"/>
        <v>30</v>
      </c>
      <c r="F183" s="103" t="str">
        <f>IFERROR(_xlfn.XLOOKUP($A183,'Raw Data'!$G:$G,'Raw Data'!$AM:$AM),"")</f>
        <v/>
      </c>
      <c r="G183" s="104" t="str">
        <f>IFERROR(_xlfn.XLOOKUP($A183,'Raw Data'!$G:$G,'Raw Data'!$AB:$AB),"")</f>
        <v/>
      </c>
      <c r="H183" s="104"/>
      <c r="I183" s="104" t="str">
        <f>IFERROR(_xlfn.XLOOKUP($A183,'Raw Data'!$G:$G,'Raw Data'!$AC:$AC),"")</f>
        <v/>
      </c>
      <c r="J183" s="104"/>
      <c r="K183" s="104" t="str">
        <f>IFERROR(_xlfn.XLOOKUP($A183,'Raw Data'!$G:$G,'Raw Data'!AD:AD),"")</f>
        <v/>
      </c>
      <c r="L183" s="104" t="str">
        <f>IFERROR(_xlfn.XLOOKUP($A183,'Raw Data'!$G:$G,'Raw Data'!AE:AE),"")</f>
        <v/>
      </c>
      <c r="M183" s="104" t="str">
        <f>IFERROR(_xlfn.XLOOKUP($A183,'Raw Data'!$G:$G,'Raw Data'!AF:AF),"")</f>
        <v/>
      </c>
      <c r="N183" s="104" t="str">
        <f>IFERROR(_xlfn.XLOOKUP($A183,'Raw Data'!$G:$G,'Raw Data'!AG:AG),"")</f>
        <v/>
      </c>
      <c r="O183" s="105" t="str">
        <f>IFERROR(1-SUMIF('Plant BD'!$B:$B,$A183,'Plant BD'!$AM:$AM)/($AA183+SUMIF('Plant BD'!$B:$B,$A183,'Plant BD'!$AM:$AM)),"")</f>
        <v/>
      </c>
      <c r="P183" s="105"/>
      <c r="Q183" s="106"/>
      <c r="R183" s="105" t="str">
        <f>IFERROR(1-SUMIF('Grid BD'!$B:$B,$A183,'Grid BD'!$AE:$AE)/($AA183+SUMIF('Grid BD'!$B:$B,$A183,'Grid BD'!$AE:$AE)),"")</f>
        <v/>
      </c>
      <c r="T183" s="106"/>
      <c r="U183" s="107" t="str">
        <f t="shared" si="13"/>
        <v/>
      </c>
      <c r="V183" s="107"/>
      <c r="W183" s="108" t="str">
        <f t="shared" si="14"/>
        <v/>
      </c>
      <c r="X183" s="101" t="str">
        <f>IFERROR(_xlfn.XLOOKUP($A183,'Raw Data'!$G:$G,'Raw Data'!AI:AI),"")</f>
        <v/>
      </c>
      <c r="Y183" s="101" t="str">
        <f>IFERROR(_xlfn.XLOOKUP($A183,'Raw Data'!$G:$G,'Raw Data'!AJ:AJ),"")</f>
        <v/>
      </c>
      <c r="Z183" s="101" t="str">
        <f>IFERROR(_xlfn.XLOOKUP($A183,'Raw Data'!$G:$G,'Raw Data'!AK:AK),"")</f>
        <v/>
      </c>
      <c r="AA183" s="101" t="str">
        <f>IFERROR(_xlfn.XLOOKUP($A183,'Raw Data'!$G:$G,'Raw Data'!$AL:$AL)*(1+(_xlfn.XLOOKUP(Table13[[#This Row],[Month Year]],JMR!$A:$A,JMR!$J:$J))),"")</f>
        <v/>
      </c>
      <c r="AB183" s="101" t="str">
        <f>IFERROR(_xlfn.XLOOKUP($A183,'Raw Data'!$G:$G,'Raw Data'!H:H),"")</f>
        <v/>
      </c>
      <c r="AC183" s="67">
        <f>IFERROR(_xlfn.XLOOKUP($D183,'Modelling New'!$D:$D,'Modelling New'!P:P),"")</f>
        <v>4.8466666666666667</v>
      </c>
      <c r="AD183" s="101">
        <f>IFERROR(_xlfn.XLOOKUP($D183,'Modelling New'!$D:$D,'Modelling New'!$T:$T)*1000,"")</f>
        <v>27099.030800071054</v>
      </c>
      <c r="AE183" s="109">
        <f>IFERROR(_xlfn.XLOOKUP($D183,'Modelling New'!$D:$D,'Modelling New'!O:O),"")</f>
        <v>0.69708783670793795</v>
      </c>
      <c r="AF183" s="108">
        <f>IFERROR(_xlfn.XLOOKUP($D183,'Modelling New'!$D:$D,'Modelling New'!W:W),"")</f>
        <v>0.14077301591296412</v>
      </c>
      <c r="AG183" s="108">
        <f>IFERROR(_xlfn.XLOOKUP($D183,'Modelling New'!$D:$D,'Modelling New'!AE:AE),"")</f>
        <v>0.98040000000000005</v>
      </c>
      <c r="AH183" s="128">
        <f>IFERROR(_xlfn.XLOOKUP($D183,'Modelling New'!$D:$D,'Modelling New'!AF:AF),"")</f>
        <v>0.98</v>
      </c>
      <c r="AN183" s="105"/>
      <c r="AO183" s="108"/>
      <c r="AP183" s="108"/>
      <c r="AQ183" s="108"/>
      <c r="AR183" s="101">
        <f>'Basic Data'!$B$98/1000</f>
        <v>8.0208999999999993</v>
      </c>
      <c r="AT183" s="7" t="str">
        <f>IFERROR(_xlfn.XLOOKUP(Table13[[#This Row],[Date]],'Raw Data'!$G:$G,'Raw Data'!$AN:$AN),"")</f>
        <v/>
      </c>
      <c r="AU183" s="7">
        <f>IFERROR(_xlfn.XLOOKUP(Table13[[#This Row],[Month Year]],'Modelling New'!$D:$D,'Modelling New'!$AO:$AO),"")</f>
        <v>8</v>
      </c>
      <c r="AV183" s="7">
        <f>SUMIF('Curtailment Records'!$C:$C,Table13[[#This Row],[Date]],'Curtailment Records'!$R:$R)/1000</f>
        <v>0</v>
      </c>
    </row>
    <row r="184" spans="1:48" x14ac:dyDescent="0.3">
      <c r="A184" s="100">
        <f t="shared" si="15"/>
        <v>45927</v>
      </c>
      <c r="B184" s="101">
        <f>YEAR(Table13[[#This Row],[Date]])+IF(MONTH(Table13[[#This Row],[Date]])&gt;=4,1,0)</f>
        <v>2026</v>
      </c>
      <c r="C184" s="7">
        <f>YEAR(Table13[[#This Row],[Date]])</f>
        <v>2025</v>
      </c>
      <c r="D184" s="102">
        <f>Table13[[#This Row],[Date]]-DAY(Table13[[#This Row],[Date]])+1</f>
        <v>45901</v>
      </c>
      <c r="E184" s="7">
        <f t="shared" si="12"/>
        <v>30</v>
      </c>
      <c r="F184" s="103" t="str">
        <f>IFERROR(_xlfn.XLOOKUP($A184,'Raw Data'!$G:$G,'Raw Data'!$AM:$AM),"")</f>
        <v/>
      </c>
      <c r="G184" s="104" t="str">
        <f>IFERROR(_xlfn.XLOOKUP($A184,'Raw Data'!$G:$G,'Raw Data'!$AB:$AB),"")</f>
        <v/>
      </c>
      <c r="H184" s="104"/>
      <c r="I184" s="104" t="str">
        <f>IFERROR(_xlfn.XLOOKUP($A184,'Raw Data'!$G:$G,'Raw Data'!$AC:$AC),"")</f>
        <v/>
      </c>
      <c r="J184" s="104"/>
      <c r="K184" s="104" t="str">
        <f>IFERROR(_xlfn.XLOOKUP($A184,'Raw Data'!$G:$G,'Raw Data'!AD:AD),"")</f>
        <v/>
      </c>
      <c r="L184" s="104" t="str">
        <f>IFERROR(_xlfn.XLOOKUP($A184,'Raw Data'!$G:$G,'Raw Data'!AE:AE),"")</f>
        <v/>
      </c>
      <c r="M184" s="104" t="str">
        <f>IFERROR(_xlfn.XLOOKUP($A184,'Raw Data'!$G:$G,'Raw Data'!AF:AF),"")</f>
        <v/>
      </c>
      <c r="N184" s="104" t="str">
        <f>IFERROR(_xlfn.XLOOKUP($A184,'Raw Data'!$G:$G,'Raw Data'!AG:AG),"")</f>
        <v/>
      </c>
      <c r="O184" s="105" t="str">
        <f>IFERROR(1-SUMIF('Plant BD'!$B:$B,$A184,'Plant BD'!$AM:$AM)/($AA184+SUMIF('Plant BD'!$B:$B,$A184,'Plant BD'!$AM:$AM)),"")</f>
        <v/>
      </c>
      <c r="P184" s="105"/>
      <c r="Q184" s="106"/>
      <c r="R184" s="105" t="str">
        <f>IFERROR(1-SUMIF('Grid BD'!$B:$B,$A184,'Grid BD'!$AE:$AE)/($AA184+SUMIF('Grid BD'!$B:$B,$A184,'Grid BD'!$AE:$AE)),"")</f>
        <v/>
      </c>
      <c r="T184" s="106"/>
      <c r="U184" s="107" t="str">
        <f t="shared" si="13"/>
        <v/>
      </c>
      <c r="V184" s="107"/>
      <c r="W184" s="108" t="str">
        <f t="shared" si="14"/>
        <v/>
      </c>
      <c r="X184" s="101" t="str">
        <f>IFERROR(_xlfn.XLOOKUP($A184,'Raw Data'!$G:$G,'Raw Data'!AI:AI),"")</f>
        <v/>
      </c>
      <c r="Y184" s="101" t="str">
        <f>IFERROR(_xlfn.XLOOKUP($A184,'Raw Data'!$G:$G,'Raw Data'!AJ:AJ),"")</f>
        <v/>
      </c>
      <c r="Z184" s="101" t="str">
        <f>IFERROR(_xlfn.XLOOKUP($A184,'Raw Data'!$G:$G,'Raw Data'!AK:AK),"")</f>
        <v/>
      </c>
      <c r="AA184" s="101" t="str">
        <f>IFERROR(_xlfn.XLOOKUP($A184,'Raw Data'!$G:$G,'Raw Data'!$AL:$AL)*(1+(_xlfn.XLOOKUP(Table13[[#This Row],[Month Year]],JMR!$A:$A,JMR!$J:$J))),"")</f>
        <v/>
      </c>
      <c r="AB184" s="101" t="str">
        <f>IFERROR(_xlfn.XLOOKUP($A184,'Raw Data'!$G:$G,'Raw Data'!H:H),"")</f>
        <v/>
      </c>
      <c r="AC184" s="67">
        <f>IFERROR(_xlfn.XLOOKUP($D184,'Modelling New'!$D:$D,'Modelling New'!P:P),"")</f>
        <v>4.8466666666666667</v>
      </c>
      <c r="AD184" s="101">
        <f>IFERROR(_xlfn.XLOOKUP($D184,'Modelling New'!$D:$D,'Modelling New'!$T:$T)*1000,"")</f>
        <v>27099.030800071054</v>
      </c>
      <c r="AE184" s="109">
        <f>IFERROR(_xlfn.XLOOKUP($D184,'Modelling New'!$D:$D,'Modelling New'!O:O),"")</f>
        <v>0.69708783670793795</v>
      </c>
      <c r="AF184" s="108">
        <f>IFERROR(_xlfn.XLOOKUP($D184,'Modelling New'!$D:$D,'Modelling New'!W:W),"")</f>
        <v>0.14077301591296412</v>
      </c>
      <c r="AG184" s="108">
        <f>IFERROR(_xlfn.XLOOKUP($D184,'Modelling New'!$D:$D,'Modelling New'!AE:AE),"")</f>
        <v>0.98040000000000005</v>
      </c>
      <c r="AH184" s="128">
        <f>IFERROR(_xlfn.XLOOKUP($D184,'Modelling New'!$D:$D,'Modelling New'!AF:AF),"")</f>
        <v>0.98</v>
      </c>
      <c r="AN184" s="105"/>
      <c r="AO184" s="108"/>
      <c r="AP184" s="108"/>
      <c r="AQ184" s="108"/>
      <c r="AR184" s="101">
        <f>'Basic Data'!$B$98/1000</f>
        <v>8.0208999999999993</v>
      </c>
      <c r="AT184" s="7" t="str">
        <f>IFERROR(_xlfn.XLOOKUP(Table13[[#This Row],[Date]],'Raw Data'!$G:$G,'Raw Data'!$AN:$AN),"")</f>
        <v/>
      </c>
      <c r="AU184" s="7">
        <f>IFERROR(_xlfn.XLOOKUP(Table13[[#This Row],[Month Year]],'Modelling New'!$D:$D,'Modelling New'!$AO:$AO),"")</f>
        <v>8</v>
      </c>
      <c r="AV184" s="7">
        <f>SUMIF('Curtailment Records'!$C:$C,Table13[[#This Row],[Date]],'Curtailment Records'!$R:$R)/1000</f>
        <v>0</v>
      </c>
    </row>
    <row r="185" spans="1:48" x14ac:dyDescent="0.3">
      <c r="A185" s="100">
        <f t="shared" si="15"/>
        <v>45928</v>
      </c>
      <c r="B185" s="101">
        <f>YEAR(Table13[[#This Row],[Date]])+IF(MONTH(Table13[[#This Row],[Date]])&gt;=4,1,0)</f>
        <v>2026</v>
      </c>
      <c r="C185" s="7">
        <f>YEAR(Table13[[#This Row],[Date]])</f>
        <v>2025</v>
      </c>
      <c r="D185" s="102">
        <f>Table13[[#This Row],[Date]]-DAY(Table13[[#This Row],[Date]])+1</f>
        <v>45901</v>
      </c>
      <c r="E185" s="7">
        <f t="shared" si="12"/>
        <v>30</v>
      </c>
      <c r="F185" s="103" t="str">
        <f>IFERROR(_xlfn.XLOOKUP($A185,'Raw Data'!$G:$G,'Raw Data'!$AM:$AM),"")</f>
        <v/>
      </c>
      <c r="G185" s="104" t="str">
        <f>IFERROR(_xlfn.XLOOKUP($A185,'Raw Data'!$G:$G,'Raw Data'!$AB:$AB),"")</f>
        <v/>
      </c>
      <c r="H185" s="104"/>
      <c r="I185" s="104" t="str">
        <f>IFERROR(_xlfn.XLOOKUP($A185,'Raw Data'!$G:$G,'Raw Data'!$AC:$AC),"")</f>
        <v/>
      </c>
      <c r="J185" s="104"/>
      <c r="K185" s="104" t="str">
        <f>IFERROR(_xlfn.XLOOKUP($A185,'Raw Data'!$G:$G,'Raw Data'!AD:AD),"")</f>
        <v/>
      </c>
      <c r="L185" s="104" t="str">
        <f>IFERROR(_xlfn.XLOOKUP($A185,'Raw Data'!$G:$G,'Raw Data'!AE:AE),"")</f>
        <v/>
      </c>
      <c r="M185" s="104" t="str">
        <f>IFERROR(_xlfn.XLOOKUP($A185,'Raw Data'!$G:$G,'Raw Data'!AF:AF),"")</f>
        <v/>
      </c>
      <c r="N185" s="104" t="str">
        <f>IFERROR(_xlfn.XLOOKUP($A185,'Raw Data'!$G:$G,'Raw Data'!AG:AG),"")</f>
        <v/>
      </c>
      <c r="O185" s="105" t="str">
        <f>IFERROR(1-SUMIF('Plant BD'!$B:$B,$A185,'Plant BD'!$AM:$AM)/($AA185+SUMIF('Plant BD'!$B:$B,$A185,'Plant BD'!$AM:$AM)),"")</f>
        <v/>
      </c>
      <c r="P185" s="105"/>
      <c r="Q185" s="106"/>
      <c r="R185" s="105" t="str">
        <f>IFERROR(1-SUMIF('Grid BD'!$B:$B,$A185,'Grid BD'!$AE:$AE)/($AA185+SUMIF('Grid BD'!$B:$B,$A185,'Grid BD'!$AE:$AE)),"")</f>
        <v/>
      </c>
      <c r="T185" s="106"/>
      <c r="U185" s="107" t="str">
        <f t="shared" si="13"/>
        <v/>
      </c>
      <c r="V185" s="107"/>
      <c r="W185" s="108" t="str">
        <f t="shared" si="14"/>
        <v/>
      </c>
      <c r="X185" s="101" t="str">
        <f>IFERROR(_xlfn.XLOOKUP($A185,'Raw Data'!$G:$G,'Raw Data'!AI:AI),"")</f>
        <v/>
      </c>
      <c r="Y185" s="101" t="str">
        <f>IFERROR(_xlfn.XLOOKUP($A185,'Raw Data'!$G:$G,'Raw Data'!AJ:AJ),"")</f>
        <v/>
      </c>
      <c r="Z185" s="101" t="str">
        <f>IFERROR(_xlfn.XLOOKUP($A185,'Raw Data'!$G:$G,'Raw Data'!AK:AK),"")</f>
        <v/>
      </c>
      <c r="AA185" s="101" t="str">
        <f>IFERROR(_xlfn.XLOOKUP($A185,'Raw Data'!$G:$G,'Raw Data'!$AL:$AL)*(1+(_xlfn.XLOOKUP(Table13[[#This Row],[Month Year]],JMR!$A:$A,JMR!$J:$J))),"")</f>
        <v/>
      </c>
      <c r="AB185" s="101" t="str">
        <f>IFERROR(_xlfn.XLOOKUP($A185,'Raw Data'!$G:$G,'Raw Data'!H:H),"")</f>
        <v/>
      </c>
      <c r="AC185" s="67">
        <f>IFERROR(_xlfn.XLOOKUP($D185,'Modelling New'!$D:$D,'Modelling New'!P:P),"")</f>
        <v>4.8466666666666667</v>
      </c>
      <c r="AD185" s="101">
        <f>IFERROR(_xlfn.XLOOKUP($D185,'Modelling New'!$D:$D,'Modelling New'!$T:$T)*1000,"")</f>
        <v>27099.030800071054</v>
      </c>
      <c r="AE185" s="109">
        <f>IFERROR(_xlfn.XLOOKUP($D185,'Modelling New'!$D:$D,'Modelling New'!O:O),"")</f>
        <v>0.69708783670793795</v>
      </c>
      <c r="AF185" s="108">
        <f>IFERROR(_xlfn.XLOOKUP($D185,'Modelling New'!$D:$D,'Modelling New'!W:W),"")</f>
        <v>0.14077301591296412</v>
      </c>
      <c r="AG185" s="108">
        <f>IFERROR(_xlfn.XLOOKUP($D185,'Modelling New'!$D:$D,'Modelling New'!AE:AE),"")</f>
        <v>0.98040000000000005</v>
      </c>
      <c r="AH185" s="128">
        <f>IFERROR(_xlfn.XLOOKUP($D185,'Modelling New'!$D:$D,'Modelling New'!AF:AF),"")</f>
        <v>0.98</v>
      </c>
      <c r="AN185" s="105"/>
      <c r="AO185" s="108"/>
      <c r="AP185" s="108"/>
      <c r="AQ185" s="108"/>
      <c r="AR185" s="101">
        <f>'Basic Data'!$B$98/1000</f>
        <v>8.0208999999999993</v>
      </c>
      <c r="AT185" s="7" t="str">
        <f>IFERROR(_xlfn.XLOOKUP(Table13[[#This Row],[Date]],'Raw Data'!$G:$G,'Raw Data'!$AN:$AN),"")</f>
        <v/>
      </c>
      <c r="AU185" s="7">
        <f>IFERROR(_xlfn.XLOOKUP(Table13[[#This Row],[Month Year]],'Modelling New'!$D:$D,'Modelling New'!$AO:$AO),"")</f>
        <v>8</v>
      </c>
      <c r="AV185" s="7">
        <f>SUMIF('Curtailment Records'!$C:$C,Table13[[#This Row],[Date]],'Curtailment Records'!$R:$R)/1000</f>
        <v>0</v>
      </c>
    </row>
    <row r="186" spans="1:48" x14ac:dyDescent="0.3">
      <c r="A186" s="100">
        <f t="shared" si="15"/>
        <v>45929</v>
      </c>
      <c r="B186" s="101">
        <f>YEAR(Table13[[#This Row],[Date]])+IF(MONTH(Table13[[#This Row],[Date]])&gt;=4,1,0)</f>
        <v>2026</v>
      </c>
      <c r="C186" s="7">
        <f>YEAR(Table13[[#This Row],[Date]])</f>
        <v>2025</v>
      </c>
      <c r="D186" s="102">
        <f>Table13[[#This Row],[Date]]-DAY(Table13[[#This Row],[Date]])+1</f>
        <v>45901</v>
      </c>
      <c r="E186" s="7">
        <f t="shared" si="12"/>
        <v>30</v>
      </c>
      <c r="F186" s="103" t="str">
        <f>IFERROR(_xlfn.XLOOKUP($A186,'Raw Data'!$G:$G,'Raw Data'!$AM:$AM),"")</f>
        <v/>
      </c>
      <c r="G186" s="104" t="str">
        <f>IFERROR(_xlfn.XLOOKUP($A186,'Raw Data'!$G:$G,'Raw Data'!$AB:$AB),"")</f>
        <v/>
      </c>
      <c r="H186" s="104"/>
      <c r="I186" s="104" t="str">
        <f>IFERROR(_xlfn.XLOOKUP($A186,'Raw Data'!$G:$G,'Raw Data'!$AC:$AC),"")</f>
        <v/>
      </c>
      <c r="J186" s="104"/>
      <c r="K186" s="104" t="str">
        <f>IFERROR(_xlfn.XLOOKUP($A186,'Raw Data'!$G:$G,'Raw Data'!AD:AD),"")</f>
        <v/>
      </c>
      <c r="L186" s="104" t="str">
        <f>IFERROR(_xlfn.XLOOKUP($A186,'Raw Data'!$G:$G,'Raw Data'!AE:AE),"")</f>
        <v/>
      </c>
      <c r="M186" s="104" t="str">
        <f>IFERROR(_xlfn.XLOOKUP($A186,'Raw Data'!$G:$G,'Raw Data'!AF:AF),"")</f>
        <v/>
      </c>
      <c r="N186" s="104" t="str">
        <f>IFERROR(_xlfn.XLOOKUP($A186,'Raw Data'!$G:$G,'Raw Data'!AG:AG),"")</f>
        <v/>
      </c>
      <c r="O186" s="105" t="str">
        <f>IFERROR(1-SUMIF('Plant BD'!$B:$B,$A186,'Plant BD'!$AM:$AM)/($AA186+SUMIF('Plant BD'!$B:$B,$A186,'Plant BD'!$AM:$AM)),"")</f>
        <v/>
      </c>
      <c r="P186" s="105"/>
      <c r="Q186" s="106"/>
      <c r="R186" s="105" t="str">
        <f>IFERROR(1-SUMIF('Grid BD'!$B:$B,$A186,'Grid BD'!$AE:$AE)/($AA186+SUMIF('Grid BD'!$B:$B,$A186,'Grid BD'!$AE:$AE)),"")</f>
        <v/>
      </c>
      <c r="T186" s="106"/>
      <c r="U186" s="107" t="str">
        <f t="shared" si="13"/>
        <v/>
      </c>
      <c r="V186" s="107"/>
      <c r="W186" s="108" t="str">
        <f t="shared" si="14"/>
        <v/>
      </c>
      <c r="X186" s="101" t="str">
        <f>IFERROR(_xlfn.XLOOKUP($A186,'Raw Data'!$G:$G,'Raw Data'!AI:AI),"")</f>
        <v/>
      </c>
      <c r="Y186" s="101" t="str">
        <f>IFERROR(_xlfn.XLOOKUP($A186,'Raw Data'!$G:$G,'Raw Data'!AJ:AJ),"")</f>
        <v/>
      </c>
      <c r="Z186" s="101" t="str">
        <f>IFERROR(_xlfn.XLOOKUP($A186,'Raw Data'!$G:$G,'Raw Data'!AK:AK),"")</f>
        <v/>
      </c>
      <c r="AA186" s="101" t="str">
        <f>IFERROR(_xlfn.XLOOKUP($A186,'Raw Data'!$G:$G,'Raw Data'!$AL:$AL)*(1+(_xlfn.XLOOKUP(Table13[[#This Row],[Month Year]],JMR!$A:$A,JMR!$J:$J))),"")</f>
        <v/>
      </c>
      <c r="AB186" s="101" t="str">
        <f>IFERROR(_xlfn.XLOOKUP($A186,'Raw Data'!$G:$G,'Raw Data'!H:H),"")</f>
        <v/>
      </c>
      <c r="AC186" s="67">
        <f>IFERROR(_xlfn.XLOOKUP($D186,'Modelling New'!$D:$D,'Modelling New'!P:P),"")</f>
        <v>4.8466666666666667</v>
      </c>
      <c r="AD186" s="101">
        <f>IFERROR(_xlfn.XLOOKUP($D186,'Modelling New'!$D:$D,'Modelling New'!$T:$T)*1000,"")</f>
        <v>27099.030800071054</v>
      </c>
      <c r="AE186" s="109">
        <f>IFERROR(_xlfn.XLOOKUP($D186,'Modelling New'!$D:$D,'Modelling New'!O:O),"")</f>
        <v>0.69708783670793795</v>
      </c>
      <c r="AF186" s="108">
        <f>IFERROR(_xlfn.XLOOKUP($D186,'Modelling New'!$D:$D,'Modelling New'!W:W),"")</f>
        <v>0.14077301591296412</v>
      </c>
      <c r="AG186" s="108">
        <f>IFERROR(_xlfn.XLOOKUP($D186,'Modelling New'!$D:$D,'Modelling New'!AE:AE),"")</f>
        <v>0.98040000000000005</v>
      </c>
      <c r="AH186" s="128">
        <f>IFERROR(_xlfn.XLOOKUP($D186,'Modelling New'!$D:$D,'Modelling New'!AF:AF),"")</f>
        <v>0.98</v>
      </c>
      <c r="AN186" s="105"/>
      <c r="AO186" s="108"/>
      <c r="AP186" s="108"/>
      <c r="AQ186" s="108"/>
      <c r="AR186" s="101">
        <f>'Basic Data'!$B$98/1000</f>
        <v>8.0208999999999993</v>
      </c>
      <c r="AT186" s="7" t="str">
        <f>IFERROR(_xlfn.XLOOKUP(Table13[[#This Row],[Date]],'Raw Data'!$G:$G,'Raw Data'!$AN:$AN),"")</f>
        <v/>
      </c>
      <c r="AU186" s="7">
        <f>IFERROR(_xlfn.XLOOKUP(Table13[[#This Row],[Month Year]],'Modelling New'!$D:$D,'Modelling New'!$AO:$AO),"")</f>
        <v>8</v>
      </c>
      <c r="AV186" s="7">
        <f>SUMIF('Curtailment Records'!$C:$C,Table13[[#This Row],[Date]],'Curtailment Records'!$R:$R)/1000</f>
        <v>0</v>
      </c>
    </row>
    <row r="187" spans="1:48" x14ac:dyDescent="0.3">
      <c r="A187" s="100">
        <f t="shared" si="15"/>
        <v>45930</v>
      </c>
      <c r="B187" s="101">
        <f>YEAR(Table13[[#This Row],[Date]])+IF(MONTH(Table13[[#This Row],[Date]])&gt;=4,1,0)</f>
        <v>2026</v>
      </c>
      <c r="C187" s="7">
        <f>YEAR(Table13[[#This Row],[Date]])</f>
        <v>2025</v>
      </c>
      <c r="D187" s="102">
        <f>Table13[[#This Row],[Date]]-DAY(Table13[[#This Row],[Date]])+1</f>
        <v>45901</v>
      </c>
      <c r="E187" s="7">
        <f t="shared" si="12"/>
        <v>30</v>
      </c>
      <c r="F187" s="103" t="str">
        <f>IFERROR(_xlfn.XLOOKUP($A187,'Raw Data'!$G:$G,'Raw Data'!$AM:$AM),"")</f>
        <v/>
      </c>
      <c r="G187" s="104" t="str">
        <f>IFERROR(_xlfn.XLOOKUP($A187,'Raw Data'!$G:$G,'Raw Data'!$AB:$AB),"")</f>
        <v/>
      </c>
      <c r="H187" s="104"/>
      <c r="I187" s="104" t="str">
        <f>IFERROR(_xlfn.XLOOKUP($A187,'Raw Data'!$G:$G,'Raw Data'!$AC:$AC),"")</f>
        <v/>
      </c>
      <c r="J187" s="104"/>
      <c r="K187" s="104" t="str">
        <f>IFERROR(_xlfn.XLOOKUP($A187,'Raw Data'!$G:$G,'Raw Data'!AD:AD),"")</f>
        <v/>
      </c>
      <c r="L187" s="104" t="str">
        <f>IFERROR(_xlfn.XLOOKUP($A187,'Raw Data'!$G:$G,'Raw Data'!AE:AE),"")</f>
        <v/>
      </c>
      <c r="M187" s="104" t="str">
        <f>IFERROR(_xlfn.XLOOKUP($A187,'Raw Data'!$G:$G,'Raw Data'!AF:AF),"")</f>
        <v/>
      </c>
      <c r="N187" s="104" t="str">
        <f>IFERROR(_xlfn.XLOOKUP($A187,'Raw Data'!$G:$G,'Raw Data'!AG:AG),"")</f>
        <v/>
      </c>
      <c r="O187" s="105" t="str">
        <f>IFERROR(1-SUMIF('Plant BD'!$B:$B,$A187,'Plant BD'!$AM:$AM)/($AA187+SUMIF('Plant BD'!$B:$B,$A187,'Plant BD'!$AM:$AM)),"")</f>
        <v/>
      </c>
      <c r="P187" s="105"/>
      <c r="Q187" s="106"/>
      <c r="R187" s="105" t="str">
        <f>IFERROR(1-SUMIF('Grid BD'!$B:$B,$A187,'Grid BD'!$AE:$AE)/($AA187+SUMIF('Grid BD'!$B:$B,$A187,'Grid BD'!$AE:$AE)),"")</f>
        <v/>
      </c>
      <c r="T187" s="106"/>
      <c r="U187" s="107" t="str">
        <f t="shared" si="13"/>
        <v/>
      </c>
      <c r="V187" s="107"/>
      <c r="W187" s="108" t="str">
        <f t="shared" si="14"/>
        <v/>
      </c>
      <c r="X187" s="101" t="str">
        <f>IFERROR(_xlfn.XLOOKUP($A187,'Raw Data'!$G:$G,'Raw Data'!AI:AI),"")</f>
        <v/>
      </c>
      <c r="Y187" s="101" t="str">
        <f>IFERROR(_xlfn.XLOOKUP($A187,'Raw Data'!$G:$G,'Raw Data'!AJ:AJ),"")</f>
        <v/>
      </c>
      <c r="Z187" s="101" t="str">
        <f>IFERROR(_xlfn.XLOOKUP($A187,'Raw Data'!$G:$G,'Raw Data'!AK:AK),"")</f>
        <v/>
      </c>
      <c r="AA187" s="101" t="str">
        <f>IFERROR(_xlfn.XLOOKUP($A187,'Raw Data'!$G:$G,'Raw Data'!$AL:$AL)*(1+(_xlfn.XLOOKUP(Table13[[#This Row],[Month Year]],JMR!$A:$A,JMR!$J:$J))),"")</f>
        <v/>
      </c>
      <c r="AB187" s="101" t="str">
        <f>IFERROR(_xlfn.XLOOKUP($A187,'Raw Data'!$G:$G,'Raw Data'!H:H),"")</f>
        <v/>
      </c>
      <c r="AC187" s="67">
        <f>IFERROR(_xlfn.XLOOKUP($D187,'Modelling New'!$D:$D,'Modelling New'!P:P),"")</f>
        <v>4.8466666666666667</v>
      </c>
      <c r="AD187" s="101">
        <f>IFERROR(_xlfn.XLOOKUP($D187,'Modelling New'!$D:$D,'Modelling New'!$T:$T)*1000,"")</f>
        <v>27099.030800071054</v>
      </c>
      <c r="AE187" s="109">
        <f>IFERROR(_xlfn.XLOOKUP($D187,'Modelling New'!$D:$D,'Modelling New'!O:O),"")</f>
        <v>0.69708783670793795</v>
      </c>
      <c r="AF187" s="108">
        <f>IFERROR(_xlfn.XLOOKUP($D187,'Modelling New'!$D:$D,'Modelling New'!W:W),"")</f>
        <v>0.14077301591296412</v>
      </c>
      <c r="AG187" s="108">
        <f>IFERROR(_xlfn.XLOOKUP($D187,'Modelling New'!$D:$D,'Modelling New'!AE:AE),"")</f>
        <v>0.98040000000000005</v>
      </c>
      <c r="AH187" s="128">
        <f>IFERROR(_xlfn.XLOOKUP($D187,'Modelling New'!$D:$D,'Modelling New'!AF:AF),"")</f>
        <v>0.98</v>
      </c>
      <c r="AN187" s="105"/>
      <c r="AO187" s="108"/>
      <c r="AP187" s="108"/>
      <c r="AQ187" s="108"/>
      <c r="AR187" s="101">
        <f>'Basic Data'!$B$98/1000</f>
        <v>8.0208999999999993</v>
      </c>
      <c r="AT187" s="7" t="str">
        <f>IFERROR(_xlfn.XLOOKUP(Table13[[#This Row],[Date]],'Raw Data'!$G:$G,'Raw Data'!$AN:$AN),"")</f>
        <v/>
      </c>
      <c r="AU187" s="7">
        <f>IFERROR(_xlfn.XLOOKUP(Table13[[#This Row],[Month Year]],'Modelling New'!$D:$D,'Modelling New'!$AO:$AO),"")</f>
        <v>8</v>
      </c>
      <c r="AV187" s="7">
        <f>SUMIF('Curtailment Records'!$C:$C,Table13[[#This Row],[Date]],'Curtailment Records'!$R:$R)/1000</f>
        <v>0</v>
      </c>
    </row>
    <row r="188" spans="1:48" x14ac:dyDescent="0.3">
      <c r="A188" s="100">
        <f t="shared" si="15"/>
        <v>45931</v>
      </c>
      <c r="B188" s="101">
        <f>YEAR(Table13[[#This Row],[Date]])+IF(MONTH(Table13[[#This Row],[Date]])&gt;=4,1,0)</f>
        <v>2026</v>
      </c>
      <c r="C188" s="7">
        <f>YEAR(Table13[[#This Row],[Date]])</f>
        <v>2025</v>
      </c>
      <c r="D188" s="102">
        <f>Table13[[#This Row],[Date]]-DAY(Table13[[#This Row],[Date]])+1</f>
        <v>45931</v>
      </c>
      <c r="E188" s="7">
        <f t="shared" si="12"/>
        <v>31</v>
      </c>
      <c r="F188" s="103" t="str">
        <f>IFERROR(_xlfn.XLOOKUP($A188,'Raw Data'!$G:$G,'Raw Data'!$AM:$AM),"")</f>
        <v/>
      </c>
      <c r="G188" s="104" t="str">
        <f>IFERROR(_xlfn.XLOOKUP($A188,'Raw Data'!$G:$G,'Raw Data'!$AB:$AB),"")</f>
        <v/>
      </c>
      <c r="H188" s="104"/>
      <c r="I188" s="104" t="str">
        <f>IFERROR(_xlfn.XLOOKUP($A188,'Raw Data'!$G:$G,'Raw Data'!$AC:$AC),"")</f>
        <v/>
      </c>
      <c r="J188" s="104"/>
      <c r="K188" s="104" t="str">
        <f>IFERROR(_xlfn.XLOOKUP($A188,'Raw Data'!$G:$G,'Raw Data'!AD:AD),"")</f>
        <v/>
      </c>
      <c r="L188" s="104" t="str">
        <f>IFERROR(_xlfn.XLOOKUP($A188,'Raw Data'!$G:$G,'Raw Data'!AE:AE),"")</f>
        <v/>
      </c>
      <c r="M188" s="104" t="str">
        <f>IFERROR(_xlfn.XLOOKUP($A188,'Raw Data'!$G:$G,'Raw Data'!AF:AF),"")</f>
        <v/>
      </c>
      <c r="N188" s="104" t="str">
        <f>IFERROR(_xlfn.XLOOKUP($A188,'Raw Data'!$G:$G,'Raw Data'!AG:AG),"")</f>
        <v/>
      </c>
      <c r="O188" s="105" t="str">
        <f>IFERROR(1-SUMIF('Plant BD'!$B:$B,$A188,'Plant BD'!$AM:$AM)/($AA188+SUMIF('Plant BD'!$B:$B,$A188,'Plant BD'!$AM:$AM)),"")</f>
        <v/>
      </c>
      <c r="P188" s="105"/>
      <c r="Q188" s="106"/>
      <c r="R188" s="105" t="str">
        <f>IFERROR(1-SUMIF('Grid BD'!$B:$B,$A188,'Grid BD'!$AE:$AE)/($AA188+SUMIF('Grid BD'!$B:$B,$A188,'Grid BD'!$AE:$AE)),"")</f>
        <v/>
      </c>
      <c r="T188" s="106"/>
      <c r="U188" s="107" t="str">
        <f t="shared" si="13"/>
        <v/>
      </c>
      <c r="V188" s="107"/>
      <c r="W188" s="108" t="str">
        <f t="shared" si="14"/>
        <v/>
      </c>
      <c r="X188" s="101" t="str">
        <f>IFERROR(_xlfn.XLOOKUP($A188,'Raw Data'!$G:$G,'Raw Data'!AI:AI),"")</f>
        <v/>
      </c>
      <c r="Y188" s="101" t="str">
        <f>IFERROR(_xlfn.XLOOKUP($A188,'Raw Data'!$G:$G,'Raw Data'!AJ:AJ),"")</f>
        <v/>
      </c>
      <c r="Z188" s="101" t="str">
        <f>IFERROR(_xlfn.XLOOKUP($A188,'Raw Data'!$G:$G,'Raw Data'!AK:AK),"")</f>
        <v/>
      </c>
      <c r="AA188" s="101" t="str">
        <f>IFERROR(_xlfn.XLOOKUP($A188,'Raw Data'!$G:$G,'Raw Data'!$AL:$AL)*(1+(_xlfn.XLOOKUP(Table13[[#This Row],[Month Year]],JMR!$A:$A,JMR!$J:$J))),"")</f>
        <v/>
      </c>
      <c r="AB188" s="101" t="str">
        <f>IFERROR(_xlfn.XLOOKUP($A188,'Raw Data'!$G:$G,'Raw Data'!H:H),"")</f>
        <v/>
      </c>
      <c r="AC188" s="67">
        <f>IFERROR(_xlfn.XLOOKUP($D188,'Modelling New'!$D:$D,'Modelling New'!P:P),"")</f>
        <v>5.1225806451612907</v>
      </c>
      <c r="AD188" s="101">
        <f>IFERROR(_xlfn.XLOOKUP($D188,'Modelling New'!$D:$D,'Modelling New'!$T:$T)*1000,"")</f>
        <v>29797.679316907321</v>
      </c>
      <c r="AE188" s="109">
        <f>IFERROR(_xlfn.XLOOKUP($D188,'Modelling New'!$D:$D,'Modelling New'!O:O),"")</f>
        <v>0.72522127474099773</v>
      </c>
      <c r="AF188" s="108">
        <f>IFERROR(_xlfn.XLOOKUP($D188,'Modelling New'!$D:$D,'Modelling New'!W:W),"")</f>
        <v>0.1547918527269764</v>
      </c>
      <c r="AG188" s="108">
        <f>IFERROR(_xlfn.XLOOKUP($D188,'Modelling New'!$D:$D,'Modelling New'!AE:AE),"")</f>
        <v>0.98040000000000005</v>
      </c>
      <c r="AH188" s="128">
        <f>IFERROR(_xlfn.XLOOKUP($D188,'Modelling New'!$D:$D,'Modelling New'!AF:AF),"")</f>
        <v>0.98</v>
      </c>
      <c r="AN188" s="105"/>
      <c r="AO188" s="108"/>
      <c r="AP188" s="108"/>
      <c r="AQ188" s="108"/>
      <c r="AR188" s="101">
        <f>'Basic Data'!$B$98/1000</f>
        <v>8.0208999999999993</v>
      </c>
      <c r="AT188" s="7" t="str">
        <f>IFERROR(_xlfn.XLOOKUP(Table13[[#This Row],[Date]],'Raw Data'!$G:$G,'Raw Data'!$AN:$AN),"")</f>
        <v/>
      </c>
      <c r="AU188" s="7">
        <f>IFERROR(_xlfn.XLOOKUP(Table13[[#This Row],[Month Year]],'Modelling New'!$D:$D,'Modelling New'!$AO:$AO),"")</f>
        <v>8</v>
      </c>
      <c r="AV188" s="7">
        <f>SUMIF('Curtailment Records'!$C:$C,Table13[[#This Row],[Date]],'Curtailment Records'!$R:$R)/1000</f>
        <v>0</v>
      </c>
    </row>
    <row r="189" spans="1:48" x14ac:dyDescent="0.3">
      <c r="A189" s="100">
        <f t="shared" si="15"/>
        <v>45932</v>
      </c>
      <c r="B189" s="101">
        <f>YEAR(Table13[[#This Row],[Date]])+IF(MONTH(Table13[[#This Row],[Date]])&gt;=4,1,0)</f>
        <v>2026</v>
      </c>
      <c r="C189" s="7">
        <f>YEAR(Table13[[#This Row],[Date]])</f>
        <v>2025</v>
      </c>
      <c r="D189" s="102">
        <f>Table13[[#This Row],[Date]]-DAY(Table13[[#This Row],[Date]])+1</f>
        <v>45931</v>
      </c>
      <c r="E189" s="7">
        <f t="shared" si="12"/>
        <v>31</v>
      </c>
      <c r="F189" s="103" t="str">
        <f>IFERROR(_xlfn.XLOOKUP($A189,'Raw Data'!$G:$G,'Raw Data'!$AM:$AM),"")</f>
        <v/>
      </c>
      <c r="G189" s="104" t="str">
        <f>IFERROR(_xlfn.XLOOKUP($A189,'Raw Data'!$G:$G,'Raw Data'!$AB:$AB),"")</f>
        <v/>
      </c>
      <c r="H189" s="104"/>
      <c r="I189" s="104" t="str">
        <f>IFERROR(_xlfn.XLOOKUP($A189,'Raw Data'!$G:$G,'Raw Data'!$AC:$AC),"")</f>
        <v/>
      </c>
      <c r="J189" s="104"/>
      <c r="K189" s="104" t="str">
        <f>IFERROR(_xlfn.XLOOKUP($A189,'Raw Data'!$G:$G,'Raw Data'!AD:AD),"")</f>
        <v/>
      </c>
      <c r="L189" s="104" t="str">
        <f>IFERROR(_xlfn.XLOOKUP($A189,'Raw Data'!$G:$G,'Raw Data'!AE:AE),"")</f>
        <v/>
      </c>
      <c r="M189" s="104" t="str">
        <f>IFERROR(_xlfn.XLOOKUP($A189,'Raw Data'!$G:$G,'Raw Data'!AF:AF),"")</f>
        <v/>
      </c>
      <c r="N189" s="104" t="str">
        <f>IFERROR(_xlfn.XLOOKUP($A189,'Raw Data'!$G:$G,'Raw Data'!AG:AG),"")</f>
        <v/>
      </c>
      <c r="O189" s="105" t="str">
        <f>IFERROR(1-SUMIF('Plant BD'!$B:$B,$A189,'Plant BD'!$AM:$AM)/($AA189+SUMIF('Plant BD'!$B:$B,$A189,'Plant BD'!$AM:$AM)),"")</f>
        <v/>
      </c>
      <c r="P189" s="105"/>
      <c r="Q189" s="106"/>
      <c r="R189" s="105" t="str">
        <f>IFERROR(1-SUMIF('Grid BD'!$B:$B,$A189,'Grid BD'!$AE:$AE)/($AA189+SUMIF('Grid BD'!$B:$B,$A189,'Grid BD'!$AE:$AE)),"")</f>
        <v/>
      </c>
      <c r="T189" s="106"/>
      <c r="U189" s="107" t="str">
        <f t="shared" si="13"/>
        <v/>
      </c>
      <c r="V189" s="107"/>
      <c r="W189" s="108" t="str">
        <f t="shared" si="14"/>
        <v/>
      </c>
      <c r="X189" s="101" t="str">
        <f>IFERROR(_xlfn.XLOOKUP($A189,'Raw Data'!$G:$G,'Raw Data'!AI:AI),"")</f>
        <v/>
      </c>
      <c r="Y189" s="101" t="str">
        <f>IFERROR(_xlfn.XLOOKUP($A189,'Raw Data'!$G:$G,'Raw Data'!AJ:AJ),"")</f>
        <v/>
      </c>
      <c r="Z189" s="101" t="str">
        <f>IFERROR(_xlfn.XLOOKUP($A189,'Raw Data'!$G:$G,'Raw Data'!AK:AK),"")</f>
        <v/>
      </c>
      <c r="AA189" s="101" t="str">
        <f>IFERROR(_xlfn.XLOOKUP($A189,'Raw Data'!$G:$G,'Raw Data'!$AL:$AL)*(1+(_xlfn.XLOOKUP(Table13[[#This Row],[Month Year]],JMR!$A:$A,JMR!$J:$J))),"")</f>
        <v/>
      </c>
      <c r="AB189" s="101" t="str">
        <f>IFERROR(_xlfn.XLOOKUP($A189,'Raw Data'!$G:$G,'Raw Data'!H:H),"")</f>
        <v/>
      </c>
      <c r="AC189" s="67">
        <f>IFERROR(_xlfn.XLOOKUP($D189,'Modelling New'!$D:$D,'Modelling New'!P:P),"")</f>
        <v>5.1225806451612907</v>
      </c>
      <c r="AD189" s="101">
        <f>IFERROR(_xlfn.XLOOKUP($D189,'Modelling New'!$D:$D,'Modelling New'!$T:$T)*1000,"")</f>
        <v>29797.679316907321</v>
      </c>
      <c r="AE189" s="109">
        <f>IFERROR(_xlfn.XLOOKUP($D189,'Modelling New'!$D:$D,'Modelling New'!O:O),"")</f>
        <v>0.72522127474099773</v>
      </c>
      <c r="AF189" s="108">
        <f>IFERROR(_xlfn.XLOOKUP($D189,'Modelling New'!$D:$D,'Modelling New'!W:W),"")</f>
        <v>0.1547918527269764</v>
      </c>
      <c r="AG189" s="108">
        <f>IFERROR(_xlfn.XLOOKUP($D189,'Modelling New'!$D:$D,'Modelling New'!AE:AE),"")</f>
        <v>0.98040000000000005</v>
      </c>
      <c r="AH189" s="128">
        <f>IFERROR(_xlfn.XLOOKUP($D189,'Modelling New'!$D:$D,'Modelling New'!AF:AF),"")</f>
        <v>0.98</v>
      </c>
      <c r="AN189" s="105"/>
      <c r="AO189" s="108"/>
      <c r="AP189" s="108"/>
      <c r="AQ189" s="108"/>
      <c r="AR189" s="101">
        <f>'Basic Data'!$B$98/1000</f>
        <v>8.0208999999999993</v>
      </c>
      <c r="AT189" s="7" t="str">
        <f>IFERROR(_xlfn.XLOOKUP(Table13[[#This Row],[Date]],'Raw Data'!$G:$G,'Raw Data'!$AN:$AN),"")</f>
        <v/>
      </c>
      <c r="AU189" s="7">
        <f>IFERROR(_xlfn.XLOOKUP(Table13[[#This Row],[Month Year]],'Modelling New'!$D:$D,'Modelling New'!$AO:$AO),"")</f>
        <v>8</v>
      </c>
      <c r="AV189" s="7">
        <f>SUMIF('Curtailment Records'!$C:$C,Table13[[#This Row],[Date]],'Curtailment Records'!$R:$R)/1000</f>
        <v>0</v>
      </c>
    </row>
    <row r="190" spans="1:48" x14ac:dyDescent="0.3">
      <c r="A190" s="100">
        <f t="shared" si="15"/>
        <v>45933</v>
      </c>
      <c r="B190" s="101">
        <f>YEAR(Table13[[#This Row],[Date]])+IF(MONTH(Table13[[#This Row],[Date]])&gt;=4,1,0)</f>
        <v>2026</v>
      </c>
      <c r="C190" s="7">
        <f>YEAR(Table13[[#This Row],[Date]])</f>
        <v>2025</v>
      </c>
      <c r="D190" s="102">
        <f>Table13[[#This Row],[Date]]-DAY(Table13[[#This Row],[Date]])+1</f>
        <v>45931</v>
      </c>
      <c r="E190" s="7">
        <f t="shared" si="12"/>
        <v>31</v>
      </c>
      <c r="F190" s="103" t="str">
        <f>IFERROR(_xlfn.XLOOKUP($A190,'Raw Data'!$G:$G,'Raw Data'!$AM:$AM),"")</f>
        <v/>
      </c>
      <c r="G190" s="104" t="str">
        <f>IFERROR(_xlfn.XLOOKUP($A190,'Raw Data'!$G:$G,'Raw Data'!$AB:$AB),"")</f>
        <v/>
      </c>
      <c r="H190" s="104"/>
      <c r="I190" s="104" t="str">
        <f>IFERROR(_xlfn.XLOOKUP($A190,'Raw Data'!$G:$G,'Raw Data'!$AC:$AC),"")</f>
        <v/>
      </c>
      <c r="J190" s="104"/>
      <c r="K190" s="104" t="str">
        <f>IFERROR(_xlfn.XLOOKUP($A190,'Raw Data'!$G:$G,'Raw Data'!AD:AD),"")</f>
        <v/>
      </c>
      <c r="L190" s="104" t="str">
        <f>IFERROR(_xlfn.XLOOKUP($A190,'Raw Data'!$G:$G,'Raw Data'!AE:AE),"")</f>
        <v/>
      </c>
      <c r="M190" s="104" t="str">
        <f>IFERROR(_xlfn.XLOOKUP($A190,'Raw Data'!$G:$G,'Raw Data'!AF:AF),"")</f>
        <v/>
      </c>
      <c r="N190" s="104" t="str">
        <f>IFERROR(_xlfn.XLOOKUP($A190,'Raw Data'!$G:$G,'Raw Data'!AG:AG),"")</f>
        <v/>
      </c>
      <c r="O190" s="105" t="str">
        <f>IFERROR(1-SUMIF('Plant BD'!$B:$B,$A190,'Plant BD'!$AM:$AM)/($AA190+SUMIF('Plant BD'!$B:$B,$A190,'Plant BD'!$AM:$AM)),"")</f>
        <v/>
      </c>
      <c r="P190" s="105"/>
      <c r="Q190" s="106"/>
      <c r="R190" s="105" t="str">
        <f>IFERROR(1-SUMIF('Grid BD'!$B:$B,$A190,'Grid BD'!$AE:$AE)/($AA190+SUMIF('Grid BD'!$B:$B,$A190,'Grid BD'!$AE:$AE)),"")</f>
        <v/>
      </c>
      <c r="T190" s="106"/>
      <c r="U190" s="107" t="str">
        <f t="shared" si="13"/>
        <v/>
      </c>
      <c r="V190" s="107"/>
      <c r="W190" s="108" t="str">
        <f t="shared" si="14"/>
        <v/>
      </c>
      <c r="X190" s="101" t="str">
        <f>IFERROR(_xlfn.XLOOKUP($A190,'Raw Data'!$G:$G,'Raw Data'!AI:AI),"")</f>
        <v/>
      </c>
      <c r="Y190" s="101" t="str">
        <f>IFERROR(_xlfn.XLOOKUP($A190,'Raw Data'!$G:$G,'Raw Data'!AJ:AJ),"")</f>
        <v/>
      </c>
      <c r="Z190" s="101" t="str">
        <f>IFERROR(_xlfn.XLOOKUP($A190,'Raw Data'!$G:$G,'Raw Data'!AK:AK),"")</f>
        <v/>
      </c>
      <c r="AA190" s="101" t="str">
        <f>IFERROR(_xlfn.XLOOKUP($A190,'Raw Data'!$G:$G,'Raw Data'!$AL:$AL)*(1+(_xlfn.XLOOKUP(Table13[[#This Row],[Month Year]],JMR!$A:$A,JMR!$J:$J))),"")</f>
        <v/>
      </c>
      <c r="AB190" s="101" t="str">
        <f>IFERROR(_xlfn.XLOOKUP($A190,'Raw Data'!$G:$G,'Raw Data'!H:H),"")</f>
        <v/>
      </c>
      <c r="AC190" s="67">
        <f>IFERROR(_xlfn.XLOOKUP($D190,'Modelling New'!$D:$D,'Modelling New'!P:P),"")</f>
        <v>5.1225806451612907</v>
      </c>
      <c r="AD190" s="101">
        <f>IFERROR(_xlfn.XLOOKUP($D190,'Modelling New'!$D:$D,'Modelling New'!$T:$T)*1000,"")</f>
        <v>29797.679316907321</v>
      </c>
      <c r="AE190" s="109">
        <f>IFERROR(_xlfn.XLOOKUP($D190,'Modelling New'!$D:$D,'Modelling New'!O:O),"")</f>
        <v>0.72522127474099773</v>
      </c>
      <c r="AF190" s="108">
        <f>IFERROR(_xlfn.XLOOKUP($D190,'Modelling New'!$D:$D,'Modelling New'!W:W),"")</f>
        <v>0.1547918527269764</v>
      </c>
      <c r="AG190" s="108">
        <f>IFERROR(_xlfn.XLOOKUP($D190,'Modelling New'!$D:$D,'Modelling New'!AE:AE),"")</f>
        <v>0.98040000000000005</v>
      </c>
      <c r="AH190" s="128">
        <f>IFERROR(_xlfn.XLOOKUP($D190,'Modelling New'!$D:$D,'Modelling New'!AF:AF),"")</f>
        <v>0.98</v>
      </c>
      <c r="AN190" s="105"/>
      <c r="AO190" s="108"/>
      <c r="AP190" s="108"/>
      <c r="AQ190" s="108"/>
      <c r="AR190" s="101">
        <f>'Basic Data'!$B$98/1000</f>
        <v>8.0208999999999993</v>
      </c>
      <c r="AT190" s="7" t="str">
        <f>IFERROR(_xlfn.XLOOKUP(Table13[[#This Row],[Date]],'Raw Data'!$G:$G,'Raw Data'!$AN:$AN),"")</f>
        <v/>
      </c>
      <c r="AU190" s="7">
        <f>IFERROR(_xlfn.XLOOKUP(Table13[[#This Row],[Month Year]],'Modelling New'!$D:$D,'Modelling New'!$AO:$AO),"")</f>
        <v>8</v>
      </c>
      <c r="AV190" s="7">
        <f>SUMIF('Curtailment Records'!$C:$C,Table13[[#This Row],[Date]],'Curtailment Records'!$R:$R)/1000</f>
        <v>0</v>
      </c>
    </row>
    <row r="191" spans="1:48" x14ac:dyDescent="0.3">
      <c r="A191" s="100">
        <f t="shared" si="15"/>
        <v>45934</v>
      </c>
      <c r="B191" s="101">
        <f>YEAR(Table13[[#This Row],[Date]])+IF(MONTH(Table13[[#This Row],[Date]])&gt;=4,1,0)</f>
        <v>2026</v>
      </c>
      <c r="C191" s="7">
        <f>YEAR(Table13[[#This Row],[Date]])</f>
        <v>2025</v>
      </c>
      <c r="D191" s="102">
        <f>Table13[[#This Row],[Date]]-DAY(Table13[[#This Row],[Date]])+1</f>
        <v>45931</v>
      </c>
      <c r="E191" s="7">
        <f t="shared" si="12"/>
        <v>31</v>
      </c>
      <c r="F191" s="103" t="str">
        <f>IFERROR(_xlfn.XLOOKUP($A191,'Raw Data'!$G:$G,'Raw Data'!$AM:$AM),"")</f>
        <v/>
      </c>
      <c r="G191" s="104" t="str">
        <f>IFERROR(_xlfn.XLOOKUP($A191,'Raw Data'!$G:$G,'Raw Data'!$AB:$AB),"")</f>
        <v/>
      </c>
      <c r="H191" s="104"/>
      <c r="I191" s="104" t="str">
        <f>IFERROR(_xlfn.XLOOKUP($A191,'Raw Data'!$G:$G,'Raw Data'!$AC:$AC),"")</f>
        <v/>
      </c>
      <c r="J191" s="104"/>
      <c r="K191" s="104" t="str">
        <f>IFERROR(_xlfn.XLOOKUP($A191,'Raw Data'!$G:$G,'Raw Data'!AD:AD),"")</f>
        <v/>
      </c>
      <c r="L191" s="104" t="str">
        <f>IFERROR(_xlfn.XLOOKUP($A191,'Raw Data'!$G:$G,'Raw Data'!AE:AE),"")</f>
        <v/>
      </c>
      <c r="M191" s="104" t="str">
        <f>IFERROR(_xlfn.XLOOKUP($A191,'Raw Data'!$G:$G,'Raw Data'!AF:AF),"")</f>
        <v/>
      </c>
      <c r="N191" s="104" t="str">
        <f>IFERROR(_xlfn.XLOOKUP($A191,'Raw Data'!$G:$G,'Raw Data'!AG:AG),"")</f>
        <v/>
      </c>
      <c r="O191" s="105" t="str">
        <f>IFERROR(1-SUMIF('Plant BD'!$B:$B,$A191,'Plant BD'!$AM:$AM)/($AA191+SUMIF('Plant BD'!$B:$B,$A191,'Plant BD'!$AM:$AM)),"")</f>
        <v/>
      </c>
      <c r="P191" s="105"/>
      <c r="Q191" s="106"/>
      <c r="R191" s="105" t="str">
        <f>IFERROR(1-SUMIF('Grid BD'!$B:$B,$A191,'Grid BD'!$AE:$AE)/($AA191+SUMIF('Grid BD'!$B:$B,$A191,'Grid BD'!$AE:$AE)),"")</f>
        <v/>
      </c>
      <c r="T191" s="106"/>
      <c r="U191" s="107" t="str">
        <f t="shared" si="13"/>
        <v/>
      </c>
      <c r="V191" s="107"/>
      <c r="W191" s="108" t="str">
        <f t="shared" si="14"/>
        <v/>
      </c>
      <c r="X191" s="101" t="str">
        <f>IFERROR(_xlfn.XLOOKUP($A191,'Raw Data'!$G:$G,'Raw Data'!AI:AI),"")</f>
        <v/>
      </c>
      <c r="Y191" s="101" t="str">
        <f>IFERROR(_xlfn.XLOOKUP($A191,'Raw Data'!$G:$G,'Raw Data'!AJ:AJ),"")</f>
        <v/>
      </c>
      <c r="Z191" s="101" t="str">
        <f>IFERROR(_xlfn.XLOOKUP($A191,'Raw Data'!$G:$G,'Raw Data'!AK:AK),"")</f>
        <v/>
      </c>
      <c r="AA191" s="101" t="str">
        <f>IFERROR(_xlfn.XLOOKUP($A191,'Raw Data'!$G:$G,'Raw Data'!$AL:$AL)*(1+(_xlfn.XLOOKUP(Table13[[#This Row],[Month Year]],JMR!$A:$A,JMR!$J:$J))),"")</f>
        <v/>
      </c>
      <c r="AB191" s="101" t="str">
        <f>IFERROR(_xlfn.XLOOKUP($A191,'Raw Data'!$G:$G,'Raw Data'!H:H),"")</f>
        <v/>
      </c>
      <c r="AC191" s="67">
        <f>IFERROR(_xlfn.XLOOKUP($D191,'Modelling New'!$D:$D,'Modelling New'!P:P),"")</f>
        <v>5.1225806451612907</v>
      </c>
      <c r="AD191" s="101">
        <f>IFERROR(_xlfn.XLOOKUP($D191,'Modelling New'!$D:$D,'Modelling New'!$T:$T)*1000,"")</f>
        <v>29797.679316907321</v>
      </c>
      <c r="AE191" s="109">
        <f>IFERROR(_xlfn.XLOOKUP($D191,'Modelling New'!$D:$D,'Modelling New'!O:O),"")</f>
        <v>0.72522127474099773</v>
      </c>
      <c r="AF191" s="108">
        <f>IFERROR(_xlfn.XLOOKUP($D191,'Modelling New'!$D:$D,'Modelling New'!W:W),"")</f>
        <v>0.1547918527269764</v>
      </c>
      <c r="AG191" s="108">
        <f>IFERROR(_xlfn.XLOOKUP($D191,'Modelling New'!$D:$D,'Modelling New'!AE:AE),"")</f>
        <v>0.98040000000000005</v>
      </c>
      <c r="AH191" s="128">
        <f>IFERROR(_xlfn.XLOOKUP($D191,'Modelling New'!$D:$D,'Modelling New'!AF:AF),"")</f>
        <v>0.98</v>
      </c>
      <c r="AN191" s="105"/>
      <c r="AO191" s="108"/>
      <c r="AP191" s="108"/>
      <c r="AQ191" s="108"/>
      <c r="AR191" s="101">
        <f>'Basic Data'!$B$98/1000</f>
        <v>8.0208999999999993</v>
      </c>
      <c r="AT191" s="7" t="str">
        <f>IFERROR(_xlfn.XLOOKUP(Table13[[#This Row],[Date]],'Raw Data'!$G:$G,'Raw Data'!$AN:$AN),"")</f>
        <v/>
      </c>
      <c r="AU191" s="7">
        <f>IFERROR(_xlfn.XLOOKUP(Table13[[#This Row],[Month Year]],'Modelling New'!$D:$D,'Modelling New'!$AO:$AO),"")</f>
        <v>8</v>
      </c>
      <c r="AV191" s="7">
        <f>SUMIF('Curtailment Records'!$C:$C,Table13[[#This Row],[Date]],'Curtailment Records'!$R:$R)/1000</f>
        <v>0</v>
      </c>
    </row>
    <row r="192" spans="1:48" x14ac:dyDescent="0.3">
      <c r="A192" s="100">
        <f t="shared" si="15"/>
        <v>45935</v>
      </c>
      <c r="B192" s="101">
        <f>YEAR(Table13[[#This Row],[Date]])+IF(MONTH(Table13[[#This Row],[Date]])&gt;=4,1,0)</f>
        <v>2026</v>
      </c>
      <c r="C192" s="7">
        <f>YEAR(Table13[[#This Row],[Date]])</f>
        <v>2025</v>
      </c>
      <c r="D192" s="102">
        <f>Table13[[#This Row],[Date]]-DAY(Table13[[#This Row],[Date]])+1</f>
        <v>45931</v>
      </c>
      <c r="E192" s="7">
        <f t="shared" si="12"/>
        <v>31</v>
      </c>
      <c r="F192" s="103" t="str">
        <f>IFERROR(_xlfn.XLOOKUP($A192,'Raw Data'!$G:$G,'Raw Data'!$AM:$AM),"")</f>
        <v/>
      </c>
      <c r="G192" s="104" t="str">
        <f>IFERROR(_xlfn.XLOOKUP($A192,'Raw Data'!$G:$G,'Raw Data'!$AB:$AB),"")</f>
        <v/>
      </c>
      <c r="H192" s="104"/>
      <c r="I192" s="104" t="str">
        <f>IFERROR(_xlfn.XLOOKUP($A192,'Raw Data'!$G:$G,'Raw Data'!$AC:$AC),"")</f>
        <v/>
      </c>
      <c r="J192" s="104"/>
      <c r="K192" s="104" t="str">
        <f>IFERROR(_xlfn.XLOOKUP($A192,'Raw Data'!$G:$G,'Raw Data'!AD:AD),"")</f>
        <v/>
      </c>
      <c r="L192" s="104" t="str">
        <f>IFERROR(_xlfn.XLOOKUP($A192,'Raw Data'!$G:$G,'Raw Data'!AE:AE),"")</f>
        <v/>
      </c>
      <c r="M192" s="104" t="str">
        <f>IFERROR(_xlfn.XLOOKUP($A192,'Raw Data'!$G:$G,'Raw Data'!AF:AF),"")</f>
        <v/>
      </c>
      <c r="N192" s="104" t="str">
        <f>IFERROR(_xlfn.XLOOKUP($A192,'Raw Data'!$G:$G,'Raw Data'!AG:AG),"")</f>
        <v/>
      </c>
      <c r="O192" s="105" t="str">
        <f>IFERROR(1-SUMIF('Plant BD'!$B:$B,$A192,'Plant BD'!$AM:$AM)/($AA192+SUMIF('Plant BD'!$B:$B,$A192,'Plant BD'!$AM:$AM)),"")</f>
        <v/>
      </c>
      <c r="P192" s="105"/>
      <c r="Q192" s="106"/>
      <c r="R192" s="105" t="str">
        <f>IFERROR(1-SUMIF('Grid BD'!$B:$B,$A192,'Grid BD'!$AE:$AE)/($AA192+SUMIF('Grid BD'!$B:$B,$A192,'Grid BD'!$AE:$AE)),"")</f>
        <v/>
      </c>
      <c r="T192" s="106"/>
      <c r="U192" s="107" t="str">
        <f t="shared" si="13"/>
        <v/>
      </c>
      <c r="V192" s="107"/>
      <c r="W192" s="108" t="str">
        <f t="shared" si="14"/>
        <v/>
      </c>
      <c r="X192" s="101" t="str">
        <f>IFERROR(_xlfn.XLOOKUP($A192,'Raw Data'!$G:$G,'Raw Data'!AI:AI),"")</f>
        <v/>
      </c>
      <c r="Y192" s="101" t="str">
        <f>IFERROR(_xlfn.XLOOKUP($A192,'Raw Data'!$G:$G,'Raw Data'!AJ:AJ),"")</f>
        <v/>
      </c>
      <c r="Z192" s="101" t="str">
        <f>IFERROR(_xlfn.XLOOKUP($A192,'Raw Data'!$G:$G,'Raw Data'!AK:AK),"")</f>
        <v/>
      </c>
      <c r="AA192" s="101" t="str">
        <f>IFERROR(_xlfn.XLOOKUP($A192,'Raw Data'!$G:$G,'Raw Data'!$AL:$AL)*(1+(_xlfn.XLOOKUP(Table13[[#This Row],[Month Year]],JMR!$A:$A,JMR!$J:$J))),"")</f>
        <v/>
      </c>
      <c r="AB192" s="101" t="str">
        <f>IFERROR(_xlfn.XLOOKUP($A192,'Raw Data'!$G:$G,'Raw Data'!H:H),"")</f>
        <v/>
      </c>
      <c r="AC192" s="67">
        <f>IFERROR(_xlfn.XLOOKUP($D192,'Modelling New'!$D:$D,'Modelling New'!P:P),"")</f>
        <v>5.1225806451612907</v>
      </c>
      <c r="AD192" s="101">
        <f>IFERROR(_xlfn.XLOOKUP($D192,'Modelling New'!$D:$D,'Modelling New'!$T:$T)*1000,"")</f>
        <v>29797.679316907321</v>
      </c>
      <c r="AE192" s="109">
        <f>IFERROR(_xlfn.XLOOKUP($D192,'Modelling New'!$D:$D,'Modelling New'!O:O),"")</f>
        <v>0.72522127474099773</v>
      </c>
      <c r="AF192" s="108">
        <f>IFERROR(_xlfn.XLOOKUP($D192,'Modelling New'!$D:$D,'Modelling New'!W:W),"")</f>
        <v>0.1547918527269764</v>
      </c>
      <c r="AG192" s="108">
        <f>IFERROR(_xlfn.XLOOKUP($D192,'Modelling New'!$D:$D,'Modelling New'!AE:AE),"")</f>
        <v>0.98040000000000005</v>
      </c>
      <c r="AH192" s="128">
        <f>IFERROR(_xlfn.XLOOKUP($D192,'Modelling New'!$D:$D,'Modelling New'!AF:AF),"")</f>
        <v>0.98</v>
      </c>
      <c r="AN192" s="105"/>
      <c r="AO192" s="108"/>
      <c r="AP192" s="108"/>
      <c r="AQ192" s="108"/>
      <c r="AR192" s="101">
        <f>'Basic Data'!$B$98/1000</f>
        <v>8.0208999999999993</v>
      </c>
      <c r="AT192" s="7" t="str">
        <f>IFERROR(_xlfn.XLOOKUP(Table13[[#This Row],[Date]],'Raw Data'!$G:$G,'Raw Data'!$AN:$AN),"")</f>
        <v/>
      </c>
      <c r="AU192" s="7">
        <f>IFERROR(_xlfn.XLOOKUP(Table13[[#This Row],[Month Year]],'Modelling New'!$D:$D,'Modelling New'!$AO:$AO),"")</f>
        <v>8</v>
      </c>
      <c r="AV192" s="7">
        <f>SUMIF('Curtailment Records'!$C:$C,Table13[[#This Row],[Date]],'Curtailment Records'!$R:$R)/1000</f>
        <v>0</v>
      </c>
    </row>
    <row r="193" spans="1:48" x14ac:dyDescent="0.3">
      <c r="A193" s="100">
        <f t="shared" si="15"/>
        <v>45936</v>
      </c>
      <c r="B193" s="101">
        <f>YEAR(Table13[[#This Row],[Date]])+IF(MONTH(Table13[[#This Row],[Date]])&gt;=4,1,0)</f>
        <v>2026</v>
      </c>
      <c r="C193" s="7">
        <f>YEAR(Table13[[#This Row],[Date]])</f>
        <v>2025</v>
      </c>
      <c r="D193" s="102">
        <f>Table13[[#This Row],[Date]]-DAY(Table13[[#This Row],[Date]])+1</f>
        <v>45931</v>
      </c>
      <c r="E193" s="7">
        <f t="shared" si="12"/>
        <v>31</v>
      </c>
      <c r="F193" s="103" t="str">
        <f>IFERROR(_xlfn.XLOOKUP($A193,'Raw Data'!$G:$G,'Raw Data'!$AM:$AM),"")</f>
        <v/>
      </c>
      <c r="G193" s="104" t="str">
        <f>IFERROR(_xlfn.XLOOKUP($A193,'Raw Data'!$G:$G,'Raw Data'!$AB:$AB),"")</f>
        <v/>
      </c>
      <c r="H193" s="104"/>
      <c r="I193" s="104" t="str">
        <f>IFERROR(_xlfn.XLOOKUP($A193,'Raw Data'!$G:$G,'Raw Data'!$AC:$AC),"")</f>
        <v/>
      </c>
      <c r="J193" s="104"/>
      <c r="K193" s="104" t="str">
        <f>IFERROR(_xlfn.XLOOKUP($A193,'Raw Data'!$G:$G,'Raw Data'!AD:AD),"")</f>
        <v/>
      </c>
      <c r="L193" s="104" t="str">
        <f>IFERROR(_xlfn.XLOOKUP($A193,'Raw Data'!$G:$G,'Raw Data'!AE:AE),"")</f>
        <v/>
      </c>
      <c r="M193" s="104" t="str">
        <f>IFERROR(_xlfn.XLOOKUP($A193,'Raw Data'!$G:$G,'Raw Data'!AF:AF),"")</f>
        <v/>
      </c>
      <c r="N193" s="104" t="str">
        <f>IFERROR(_xlfn.XLOOKUP($A193,'Raw Data'!$G:$G,'Raw Data'!AG:AG),"")</f>
        <v/>
      </c>
      <c r="O193" s="105" t="str">
        <f>IFERROR(1-SUMIF('Plant BD'!$B:$B,$A193,'Plant BD'!$AM:$AM)/($AA193+SUMIF('Plant BD'!$B:$B,$A193,'Plant BD'!$AM:$AM)),"")</f>
        <v/>
      </c>
      <c r="P193" s="105"/>
      <c r="Q193" s="106"/>
      <c r="R193" s="105" t="str">
        <f>IFERROR(1-SUMIF('Grid BD'!$B:$B,$A193,'Grid BD'!$AE:$AE)/($AA193+SUMIF('Grid BD'!$B:$B,$A193,'Grid BD'!$AE:$AE)),"")</f>
        <v/>
      </c>
      <c r="T193" s="106"/>
      <c r="U193" s="107" t="str">
        <f t="shared" si="13"/>
        <v/>
      </c>
      <c r="V193" s="107"/>
      <c r="W193" s="108" t="str">
        <f t="shared" si="14"/>
        <v/>
      </c>
      <c r="X193" s="101" t="str">
        <f>IFERROR(_xlfn.XLOOKUP($A193,'Raw Data'!$G:$G,'Raw Data'!AI:AI),"")</f>
        <v/>
      </c>
      <c r="Y193" s="101" t="str">
        <f>IFERROR(_xlfn.XLOOKUP($A193,'Raw Data'!$G:$G,'Raw Data'!AJ:AJ),"")</f>
        <v/>
      </c>
      <c r="Z193" s="101" t="str">
        <f>IFERROR(_xlfn.XLOOKUP($A193,'Raw Data'!$G:$G,'Raw Data'!AK:AK),"")</f>
        <v/>
      </c>
      <c r="AA193" s="101" t="str">
        <f>IFERROR(_xlfn.XLOOKUP($A193,'Raw Data'!$G:$G,'Raw Data'!$AL:$AL)*(1+(_xlfn.XLOOKUP(Table13[[#This Row],[Month Year]],JMR!$A:$A,JMR!$J:$J))),"")</f>
        <v/>
      </c>
      <c r="AB193" s="101" t="str">
        <f>IFERROR(_xlfn.XLOOKUP($A193,'Raw Data'!$G:$G,'Raw Data'!H:H),"")</f>
        <v/>
      </c>
      <c r="AC193" s="67">
        <f>IFERROR(_xlfn.XLOOKUP($D193,'Modelling New'!$D:$D,'Modelling New'!P:P),"")</f>
        <v>5.1225806451612907</v>
      </c>
      <c r="AD193" s="101">
        <f>IFERROR(_xlfn.XLOOKUP($D193,'Modelling New'!$D:$D,'Modelling New'!$T:$T)*1000,"")</f>
        <v>29797.679316907321</v>
      </c>
      <c r="AE193" s="109">
        <f>IFERROR(_xlfn.XLOOKUP($D193,'Modelling New'!$D:$D,'Modelling New'!O:O),"")</f>
        <v>0.72522127474099773</v>
      </c>
      <c r="AF193" s="108">
        <f>IFERROR(_xlfn.XLOOKUP($D193,'Modelling New'!$D:$D,'Modelling New'!W:W),"")</f>
        <v>0.1547918527269764</v>
      </c>
      <c r="AG193" s="108">
        <f>IFERROR(_xlfn.XLOOKUP($D193,'Modelling New'!$D:$D,'Modelling New'!AE:AE),"")</f>
        <v>0.98040000000000005</v>
      </c>
      <c r="AH193" s="128">
        <f>IFERROR(_xlfn.XLOOKUP($D193,'Modelling New'!$D:$D,'Modelling New'!AF:AF),"")</f>
        <v>0.98</v>
      </c>
      <c r="AN193" s="105"/>
      <c r="AO193" s="108"/>
      <c r="AP193" s="108"/>
      <c r="AQ193" s="108"/>
      <c r="AR193" s="101">
        <f>'Basic Data'!$B$98/1000</f>
        <v>8.0208999999999993</v>
      </c>
      <c r="AT193" s="7" t="str">
        <f>IFERROR(_xlfn.XLOOKUP(Table13[[#This Row],[Date]],'Raw Data'!$G:$G,'Raw Data'!$AN:$AN),"")</f>
        <v/>
      </c>
      <c r="AU193" s="7">
        <f>IFERROR(_xlfn.XLOOKUP(Table13[[#This Row],[Month Year]],'Modelling New'!$D:$D,'Modelling New'!$AO:$AO),"")</f>
        <v>8</v>
      </c>
      <c r="AV193" s="7">
        <f>SUMIF('Curtailment Records'!$C:$C,Table13[[#This Row],[Date]],'Curtailment Records'!$R:$R)/1000</f>
        <v>0</v>
      </c>
    </row>
    <row r="194" spans="1:48" x14ac:dyDescent="0.3">
      <c r="A194" s="100">
        <f t="shared" si="15"/>
        <v>45937</v>
      </c>
      <c r="B194" s="101">
        <f>YEAR(Table13[[#This Row],[Date]])+IF(MONTH(Table13[[#This Row],[Date]])&gt;=4,1,0)</f>
        <v>2026</v>
      </c>
      <c r="C194" s="7">
        <f>YEAR(Table13[[#This Row],[Date]])</f>
        <v>2025</v>
      </c>
      <c r="D194" s="102">
        <f>Table13[[#This Row],[Date]]-DAY(Table13[[#This Row],[Date]])+1</f>
        <v>45931</v>
      </c>
      <c r="E194" s="7">
        <f t="shared" si="12"/>
        <v>31</v>
      </c>
      <c r="F194" s="103" t="str">
        <f>IFERROR(_xlfn.XLOOKUP($A194,'Raw Data'!$G:$G,'Raw Data'!$AM:$AM),"")</f>
        <v/>
      </c>
      <c r="G194" s="104" t="str">
        <f>IFERROR(_xlfn.XLOOKUP($A194,'Raw Data'!$G:$G,'Raw Data'!$AB:$AB),"")</f>
        <v/>
      </c>
      <c r="H194" s="104"/>
      <c r="I194" s="104" t="str">
        <f>IFERROR(_xlfn.XLOOKUP($A194,'Raw Data'!$G:$G,'Raw Data'!$AC:$AC),"")</f>
        <v/>
      </c>
      <c r="J194" s="104"/>
      <c r="K194" s="104" t="str">
        <f>IFERROR(_xlfn.XLOOKUP($A194,'Raw Data'!$G:$G,'Raw Data'!AD:AD),"")</f>
        <v/>
      </c>
      <c r="L194" s="104" t="str">
        <f>IFERROR(_xlfn.XLOOKUP($A194,'Raw Data'!$G:$G,'Raw Data'!AE:AE),"")</f>
        <v/>
      </c>
      <c r="M194" s="104" t="str">
        <f>IFERROR(_xlfn.XLOOKUP($A194,'Raw Data'!$G:$G,'Raw Data'!AF:AF),"")</f>
        <v/>
      </c>
      <c r="N194" s="104" t="str">
        <f>IFERROR(_xlfn.XLOOKUP($A194,'Raw Data'!$G:$G,'Raw Data'!AG:AG),"")</f>
        <v/>
      </c>
      <c r="O194" s="105" t="str">
        <f>IFERROR(1-SUMIF('Plant BD'!$B:$B,$A194,'Plant BD'!$AM:$AM)/($AA194+SUMIF('Plant BD'!$B:$B,$A194,'Plant BD'!$AM:$AM)),"")</f>
        <v/>
      </c>
      <c r="P194" s="105"/>
      <c r="Q194" s="106"/>
      <c r="R194" s="105" t="str">
        <f>IFERROR(1-SUMIF('Grid BD'!$B:$B,$A194,'Grid BD'!$AE:$AE)/($AA194+SUMIF('Grid BD'!$B:$B,$A194,'Grid BD'!$AE:$AE)),"")</f>
        <v/>
      </c>
      <c r="T194" s="106"/>
      <c r="U194" s="107" t="str">
        <f t="shared" si="13"/>
        <v/>
      </c>
      <c r="V194" s="107"/>
      <c r="W194" s="108" t="str">
        <f t="shared" si="14"/>
        <v/>
      </c>
      <c r="X194" s="101" t="str">
        <f>IFERROR(_xlfn.XLOOKUP($A194,'Raw Data'!$G:$G,'Raw Data'!AI:AI),"")</f>
        <v/>
      </c>
      <c r="Y194" s="101" t="str">
        <f>IFERROR(_xlfn.XLOOKUP($A194,'Raw Data'!$G:$G,'Raw Data'!AJ:AJ),"")</f>
        <v/>
      </c>
      <c r="Z194" s="101" t="str">
        <f>IFERROR(_xlfn.XLOOKUP($A194,'Raw Data'!$G:$G,'Raw Data'!AK:AK),"")</f>
        <v/>
      </c>
      <c r="AA194" s="101" t="str">
        <f>IFERROR(_xlfn.XLOOKUP($A194,'Raw Data'!$G:$G,'Raw Data'!$AL:$AL)*(1+(_xlfn.XLOOKUP(Table13[[#This Row],[Month Year]],JMR!$A:$A,JMR!$J:$J))),"")</f>
        <v/>
      </c>
      <c r="AB194" s="101" t="str">
        <f>IFERROR(_xlfn.XLOOKUP($A194,'Raw Data'!$G:$G,'Raw Data'!H:H),"")</f>
        <v/>
      </c>
      <c r="AC194" s="67">
        <f>IFERROR(_xlfn.XLOOKUP($D194,'Modelling New'!$D:$D,'Modelling New'!P:P),"")</f>
        <v>5.1225806451612907</v>
      </c>
      <c r="AD194" s="101">
        <f>IFERROR(_xlfn.XLOOKUP($D194,'Modelling New'!$D:$D,'Modelling New'!$T:$T)*1000,"")</f>
        <v>29797.679316907321</v>
      </c>
      <c r="AE194" s="109">
        <f>IFERROR(_xlfn.XLOOKUP($D194,'Modelling New'!$D:$D,'Modelling New'!O:O),"")</f>
        <v>0.72522127474099773</v>
      </c>
      <c r="AF194" s="108">
        <f>IFERROR(_xlfn.XLOOKUP($D194,'Modelling New'!$D:$D,'Modelling New'!W:W),"")</f>
        <v>0.1547918527269764</v>
      </c>
      <c r="AG194" s="108">
        <f>IFERROR(_xlfn.XLOOKUP($D194,'Modelling New'!$D:$D,'Modelling New'!AE:AE),"")</f>
        <v>0.98040000000000005</v>
      </c>
      <c r="AH194" s="128">
        <f>IFERROR(_xlfn.XLOOKUP($D194,'Modelling New'!$D:$D,'Modelling New'!AF:AF),"")</f>
        <v>0.98</v>
      </c>
      <c r="AN194" s="105"/>
      <c r="AO194" s="108"/>
      <c r="AP194" s="108"/>
      <c r="AQ194" s="108"/>
      <c r="AR194" s="101">
        <f>'Basic Data'!$B$98/1000</f>
        <v>8.0208999999999993</v>
      </c>
      <c r="AT194" s="7" t="str">
        <f>IFERROR(_xlfn.XLOOKUP(Table13[[#This Row],[Date]],'Raw Data'!$G:$G,'Raw Data'!$AN:$AN),"")</f>
        <v/>
      </c>
      <c r="AU194" s="7">
        <f>IFERROR(_xlfn.XLOOKUP(Table13[[#This Row],[Month Year]],'Modelling New'!$D:$D,'Modelling New'!$AO:$AO),"")</f>
        <v>8</v>
      </c>
      <c r="AV194" s="7">
        <f>SUMIF('Curtailment Records'!$C:$C,Table13[[#This Row],[Date]],'Curtailment Records'!$R:$R)/1000</f>
        <v>0</v>
      </c>
    </row>
    <row r="195" spans="1:48" x14ac:dyDescent="0.3">
      <c r="A195" s="100">
        <f t="shared" si="15"/>
        <v>45938</v>
      </c>
      <c r="B195" s="101">
        <f>YEAR(Table13[[#This Row],[Date]])+IF(MONTH(Table13[[#This Row],[Date]])&gt;=4,1,0)</f>
        <v>2026</v>
      </c>
      <c r="C195" s="7">
        <f>YEAR(Table13[[#This Row],[Date]])</f>
        <v>2025</v>
      </c>
      <c r="D195" s="102">
        <f>Table13[[#This Row],[Date]]-DAY(Table13[[#This Row],[Date]])+1</f>
        <v>45931</v>
      </c>
      <c r="E195" s="7">
        <f t="shared" si="12"/>
        <v>31</v>
      </c>
      <c r="F195" s="103" t="str">
        <f>IFERROR(_xlfn.XLOOKUP($A195,'Raw Data'!$G:$G,'Raw Data'!$AM:$AM),"")</f>
        <v/>
      </c>
      <c r="G195" s="104" t="str">
        <f>IFERROR(_xlfn.XLOOKUP($A195,'Raw Data'!$G:$G,'Raw Data'!$AB:$AB),"")</f>
        <v/>
      </c>
      <c r="H195" s="104"/>
      <c r="I195" s="104" t="str">
        <f>IFERROR(_xlfn.XLOOKUP($A195,'Raw Data'!$G:$G,'Raw Data'!$AC:$AC),"")</f>
        <v/>
      </c>
      <c r="J195" s="104"/>
      <c r="K195" s="104" t="str">
        <f>IFERROR(_xlfn.XLOOKUP($A195,'Raw Data'!$G:$G,'Raw Data'!AD:AD),"")</f>
        <v/>
      </c>
      <c r="L195" s="104" t="str">
        <f>IFERROR(_xlfn.XLOOKUP($A195,'Raw Data'!$G:$G,'Raw Data'!AE:AE),"")</f>
        <v/>
      </c>
      <c r="M195" s="104" t="str">
        <f>IFERROR(_xlfn.XLOOKUP($A195,'Raw Data'!$G:$G,'Raw Data'!AF:AF),"")</f>
        <v/>
      </c>
      <c r="N195" s="104" t="str">
        <f>IFERROR(_xlfn.XLOOKUP($A195,'Raw Data'!$G:$G,'Raw Data'!AG:AG),"")</f>
        <v/>
      </c>
      <c r="O195" s="105" t="str">
        <f>IFERROR(1-SUMIF('Plant BD'!$B:$B,$A195,'Plant BD'!$AM:$AM)/($AA195+SUMIF('Plant BD'!$B:$B,$A195,'Plant BD'!$AM:$AM)),"")</f>
        <v/>
      </c>
      <c r="P195" s="105"/>
      <c r="Q195" s="106"/>
      <c r="R195" s="105" t="str">
        <f>IFERROR(1-SUMIF('Grid BD'!$B:$B,$A195,'Grid BD'!$AE:$AE)/($AA195+SUMIF('Grid BD'!$B:$B,$A195,'Grid BD'!$AE:$AE)),"")</f>
        <v/>
      </c>
      <c r="T195" s="106"/>
      <c r="U195" s="107" t="str">
        <f t="shared" si="13"/>
        <v/>
      </c>
      <c r="V195" s="107"/>
      <c r="W195" s="108" t="str">
        <f t="shared" si="14"/>
        <v/>
      </c>
      <c r="X195" s="101" t="str">
        <f>IFERROR(_xlfn.XLOOKUP($A195,'Raw Data'!$G:$G,'Raw Data'!AI:AI),"")</f>
        <v/>
      </c>
      <c r="Y195" s="101" t="str">
        <f>IFERROR(_xlfn.XLOOKUP($A195,'Raw Data'!$G:$G,'Raw Data'!AJ:AJ),"")</f>
        <v/>
      </c>
      <c r="Z195" s="101" t="str">
        <f>IFERROR(_xlfn.XLOOKUP($A195,'Raw Data'!$G:$G,'Raw Data'!AK:AK),"")</f>
        <v/>
      </c>
      <c r="AA195" s="101" t="str">
        <f>IFERROR(_xlfn.XLOOKUP($A195,'Raw Data'!$G:$G,'Raw Data'!$AL:$AL)*(1+(_xlfn.XLOOKUP(Table13[[#This Row],[Month Year]],JMR!$A:$A,JMR!$J:$J))),"")</f>
        <v/>
      </c>
      <c r="AB195" s="101" t="str">
        <f>IFERROR(_xlfn.XLOOKUP($A195,'Raw Data'!$G:$G,'Raw Data'!H:H),"")</f>
        <v/>
      </c>
      <c r="AC195" s="67">
        <f>IFERROR(_xlfn.XLOOKUP($D195,'Modelling New'!$D:$D,'Modelling New'!P:P),"")</f>
        <v>5.1225806451612907</v>
      </c>
      <c r="AD195" s="101">
        <f>IFERROR(_xlfn.XLOOKUP($D195,'Modelling New'!$D:$D,'Modelling New'!$T:$T)*1000,"")</f>
        <v>29797.679316907321</v>
      </c>
      <c r="AE195" s="109">
        <f>IFERROR(_xlfn.XLOOKUP($D195,'Modelling New'!$D:$D,'Modelling New'!O:O),"")</f>
        <v>0.72522127474099773</v>
      </c>
      <c r="AF195" s="108">
        <f>IFERROR(_xlfn.XLOOKUP($D195,'Modelling New'!$D:$D,'Modelling New'!W:W),"")</f>
        <v>0.1547918527269764</v>
      </c>
      <c r="AG195" s="108">
        <f>IFERROR(_xlfn.XLOOKUP($D195,'Modelling New'!$D:$D,'Modelling New'!AE:AE),"")</f>
        <v>0.98040000000000005</v>
      </c>
      <c r="AH195" s="128">
        <f>IFERROR(_xlfn.XLOOKUP($D195,'Modelling New'!$D:$D,'Modelling New'!AF:AF),"")</f>
        <v>0.98</v>
      </c>
      <c r="AN195" s="105"/>
      <c r="AO195" s="108"/>
      <c r="AP195" s="108"/>
      <c r="AQ195" s="108"/>
      <c r="AR195" s="101">
        <f>'Basic Data'!$B$98/1000</f>
        <v>8.0208999999999993</v>
      </c>
      <c r="AT195" s="7" t="str">
        <f>IFERROR(_xlfn.XLOOKUP(Table13[[#This Row],[Date]],'Raw Data'!$G:$G,'Raw Data'!$AN:$AN),"")</f>
        <v/>
      </c>
      <c r="AU195" s="7">
        <f>IFERROR(_xlfn.XLOOKUP(Table13[[#This Row],[Month Year]],'Modelling New'!$D:$D,'Modelling New'!$AO:$AO),"")</f>
        <v>8</v>
      </c>
      <c r="AV195" s="7">
        <f>SUMIF('Curtailment Records'!$C:$C,Table13[[#This Row],[Date]],'Curtailment Records'!$R:$R)/1000</f>
        <v>0</v>
      </c>
    </row>
    <row r="196" spans="1:48" x14ac:dyDescent="0.3">
      <c r="A196" s="100">
        <f t="shared" si="15"/>
        <v>45939</v>
      </c>
      <c r="B196" s="101">
        <f>YEAR(Table13[[#This Row],[Date]])+IF(MONTH(Table13[[#This Row],[Date]])&gt;=4,1,0)</f>
        <v>2026</v>
      </c>
      <c r="C196" s="7">
        <f>YEAR(Table13[[#This Row],[Date]])</f>
        <v>2025</v>
      </c>
      <c r="D196" s="102">
        <f>Table13[[#This Row],[Date]]-DAY(Table13[[#This Row],[Date]])+1</f>
        <v>45931</v>
      </c>
      <c r="E196" s="7">
        <f t="shared" si="12"/>
        <v>31</v>
      </c>
      <c r="F196" s="103" t="str">
        <f>IFERROR(_xlfn.XLOOKUP($A196,'Raw Data'!$G:$G,'Raw Data'!$AM:$AM),"")</f>
        <v/>
      </c>
      <c r="G196" s="104" t="str">
        <f>IFERROR(_xlfn.XLOOKUP($A196,'Raw Data'!$G:$G,'Raw Data'!$AB:$AB),"")</f>
        <v/>
      </c>
      <c r="H196" s="104"/>
      <c r="I196" s="104" t="str">
        <f>IFERROR(_xlfn.XLOOKUP($A196,'Raw Data'!$G:$G,'Raw Data'!$AC:$AC),"")</f>
        <v/>
      </c>
      <c r="J196" s="104"/>
      <c r="K196" s="104" t="str">
        <f>IFERROR(_xlfn.XLOOKUP($A196,'Raw Data'!$G:$G,'Raw Data'!AD:AD),"")</f>
        <v/>
      </c>
      <c r="L196" s="104" t="str">
        <f>IFERROR(_xlfn.XLOOKUP($A196,'Raw Data'!$G:$G,'Raw Data'!AE:AE),"")</f>
        <v/>
      </c>
      <c r="M196" s="104" t="str">
        <f>IFERROR(_xlfn.XLOOKUP($A196,'Raw Data'!$G:$G,'Raw Data'!AF:AF),"")</f>
        <v/>
      </c>
      <c r="N196" s="104" t="str">
        <f>IFERROR(_xlfn.XLOOKUP($A196,'Raw Data'!$G:$G,'Raw Data'!AG:AG),"")</f>
        <v/>
      </c>
      <c r="O196" s="105" t="str">
        <f>IFERROR(1-SUMIF('Plant BD'!$B:$B,$A196,'Plant BD'!$AM:$AM)/($AA196+SUMIF('Plant BD'!$B:$B,$A196,'Plant BD'!$AM:$AM)),"")</f>
        <v/>
      </c>
      <c r="P196" s="105"/>
      <c r="Q196" s="106"/>
      <c r="R196" s="105" t="str">
        <f>IFERROR(1-SUMIF('Grid BD'!$B:$B,$A196,'Grid BD'!$AE:$AE)/($AA196+SUMIF('Grid BD'!$B:$B,$A196,'Grid BD'!$AE:$AE)),"")</f>
        <v/>
      </c>
      <c r="T196" s="106"/>
      <c r="U196" s="107" t="str">
        <f t="shared" si="13"/>
        <v/>
      </c>
      <c r="V196" s="107"/>
      <c r="W196" s="108" t="str">
        <f t="shared" si="14"/>
        <v/>
      </c>
      <c r="X196" s="101" t="str">
        <f>IFERROR(_xlfn.XLOOKUP($A196,'Raw Data'!$G:$G,'Raw Data'!AI:AI),"")</f>
        <v/>
      </c>
      <c r="Y196" s="101" t="str">
        <f>IFERROR(_xlfn.XLOOKUP($A196,'Raw Data'!$G:$G,'Raw Data'!AJ:AJ),"")</f>
        <v/>
      </c>
      <c r="Z196" s="101" t="str">
        <f>IFERROR(_xlfn.XLOOKUP($A196,'Raw Data'!$G:$G,'Raw Data'!AK:AK),"")</f>
        <v/>
      </c>
      <c r="AA196" s="101" t="str">
        <f>IFERROR(_xlfn.XLOOKUP($A196,'Raw Data'!$G:$G,'Raw Data'!$AL:$AL)*(1+(_xlfn.XLOOKUP(Table13[[#This Row],[Month Year]],JMR!$A:$A,JMR!$J:$J))),"")</f>
        <v/>
      </c>
      <c r="AB196" s="101" t="str">
        <f>IFERROR(_xlfn.XLOOKUP($A196,'Raw Data'!$G:$G,'Raw Data'!H:H),"")</f>
        <v/>
      </c>
      <c r="AC196" s="67">
        <f>IFERROR(_xlfn.XLOOKUP($D196,'Modelling New'!$D:$D,'Modelling New'!P:P),"")</f>
        <v>5.1225806451612907</v>
      </c>
      <c r="AD196" s="101">
        <f>IFERROR(_xlfn.XLOOKUP($D196,'Modelling New'!$D:$D,'Modelling New'!$T:$T)*1000,"")</f>
        <v>29797.679316907321</v>
      </c>
      <c r="AE196" s="109">
        <f>IFERROR(_xlfn.XLOOKUP($D196,'Modelling New'!$D:$D,'Modelling New'!O:O),"")</f>
        <v>0.72522127474099773</v>
      </c>
      <c r="AF196" s="108">
        <f>IFERROR(_xlfn.XLOOKUP($D196,'Modelling New'!$D:$D,'Modelling New'!W:W),"")</f>
        <v>0.1547918527269764</v>
      </c>
      <c r="AG196" s="108">
        <f>IFERROR(_xlfn.XLOOKUP($D196,'Modelling New'!$D:$D,'Modelling New'!AE:AE),"")</f>
        <v>0.98040000000000005</v>
      </c>
      <c r="AH196" s="128">
        <f>IFERROR(_xlfn.XLOOKUP($D196,'Modelling New'!$D:$D,'Modelling New'!AF:AF),"")</f>
        <v>0.98</v>
      </c>
      <c r="AN196" s="105"/>
      <c r="AO196" s="108"/>
      <c r="AP196" s="108"/>
      <c r="AQ196" s="108"/>
      <c r="AR196" s="101">
        <f>'Basic Data'!$B$98/1000</f>
        <v>8.0208999999999993</v>
      </c>
      <c r="AT196" s="7" t="str">
        <f>IFERROR(_xlfn.XLOOKUP(Table13[[#This Row],[Date]],'Raw Data'!$G:$G,'Raw Data'!$AN:$AN),"")</f>
        <v/>
      </c>
      <c r="AU196" s="7">
        <f>IFERROR(_xlfn.XLOOKUP(Table13[[#This Row],[Month Year]],'Modelling New'!$D:$D,'Modelling New'!$AO:$AO),"")</f>
        <v>8</v>
      </c>
      <c r="AV196" s="7">
        <f>SUMIF('Curtailment Records'!$C:$C,Table13[[#This Row],[Date]],'Curtailment Records'!$R:$R)/1000</f>
        <v>0</v>
      </c>
    </row>
    <row r="197" spans="1:48" x14ac:dyDescent="0.3">
      <c r="A197" s="100">
        <f t="shared" si="15"/>
        <v>45940</v>
      </c>
      <c r="B197" s="101">
        <f>YEAR(Table13[[#This Row],[Date]])+IF(MONTH(Table13[[#This Row],[Date]])&gt;=4,1,0)</f>
        <v>2026</v>
      </c>
      <c r="C197" s="7">
        <f>YEAR(Table13[[#This Row],[Date]])</f>
        <v>2025</v>
      </c>
      <c r="D197" s="102">
        <f>Table13[[#This Row],[Date]]-DAY(Table13[[#This Row],[Date]])+1</f>
        <v>45931</v>
      </c>
      <c r="E197" s="7">
        <f t="shared" si="12"/>
        <v>31</v>
      </c>
      <c r="F197" s="103" t="str">
        <f>IFERROR(_xlfn.XLOOKUP($A197,'Raw Data'!$G:$G,'Raw Data'!$AM:$AM),"")</f>
        <v/>
      </c>
      <c r="G197" s="104" t="str">
        <f>IFERROR(_xlfn.XLOOKUP($A197,'Raw Data'!$G:$G,'Raw Data'!$AB:$AB),"")</f>
        <v/>
      </c>
      <c r="H197" s="104"/>
      <c r="I197" s="104" t="str">
        <f>IFERROR(_xlfn.XLOOKUP($A197,'Raw Data'!$G:$G,'Raw Data'!$AC:$AC),"")</f>
        <v/>
      </c>
      <c r="J197" s="104"/>
      <c r="K197" s="104" t="str">
        <f>IFERROR(_xlfn.XLOOKUP($A197,'Raw Data'!$G:$G,'Raw Data'!AD:AD),"")</f>
        <v/>
      </c>
      <c r="L197" s="104" t="str">
        <f>IFERROR(_xlfn.XLOOKUP($A197,'Raw Data'!$G:$G,'Raw Data'!AE:AE),"")</f>
        <v/>
      </c>
      <c r="M197" s="104" t="str">
        <f>IFERROR(_xlfn.XLOOKUP($A197,'Raw Data'!$G:$G,'Raw Data'!AF:AF),"")</f>
        <v/>
      </c>
      <c r="N197" s="104" t="str">
        <f>IFERROR(_xlfn.XLOOKUP($A197,'Raw Data'!$G:$G,'Raw Data'!AG:AG),"")</f>
        <v/>
      </c>
      <c r="O197" s="105" t="str">
        <f>IFERROR(1-SUMIF('Plant BD'!$B:$B,$A197,'Plant BD'!$AM:$AM)/($AA197+SUMIF('Plant BD'!$B:$B,$A197,'Plant BD'!$AM:$AM)),"")</f>
        <v/>
      </c>
      <c r="P197" s="105"/>
      <c r="Q197" s="106"/>
      <c r="R197" s="105" t="str">
        <f>IFERROR(1-SUMIF('Grid BD'!$B:$B,$A197,'Grid BD'!$AE:$AE)/($AA197+SUMIF('Grid BD'!$B:$B,$A197,'Grid BD'!$AE:$AE)),"")</f>
        <v/>
      </c>
      <c r="T197" s="106"/>
      <c r="U197" s="107" t="str">
        <f t="shared" si="13"/>
        <v/>
      </c>
      <c r="V197" s="107"/>
      <c r="W197" s="108" t="str">
        <f t="shared" si="14"/>
        <v/>
      </c>
      <c r="X197" s="101" t="str">
        <f>IFERROR(_xlfn.XLOOKUP($A197,'Raw Data'!$G:$G,'Raw Data'!AI:AI),"")</f>
        <v/>
      </c>
      <c r="Y197" s="101" t="str">
        <f>IFERROR(_xlfn.XLOOKUP($A197,'Raw Data'!$G:$G,'Raw Data'!AJ:AJ),"")</f>
        <v/>
      </c>
      <c r="Z197" s="101" t="str">
        <f>IFERROR(_xlfn.XLOOKUP($A197,'Raw Data'!$G:$G,'Raw Data'!AK:AK),"")</f>
        <v/>
      </c>
      <c r="AA197" s="101" t="str">
        <f>IFERROR(_xlfn.XLOOKUP($A197,'Raw Data'!$G:$G,'Raw Data'!$AL:$AL)*(1+(_xlfn.XLOOKUP(Table13[[#This Row],[Month Year]],JMR!$A:$A,JMR!$J:$J))),"")</f>
        <v/>
      </c>
      <c r="AB197" s="101" t="str">
        <f>IFERROR(_xlfn.XLOOKUP($A197,'Raw Data'!$G:$G,'Raw Data'!H:H),"")</f>
        <v/>
      </c>
      <c r="AC197" s="67">
        <f>IFERROR(_xlfn.XLOOKUP($D197,'Modelling New'!$D:$D,'Modelling New'!P:P),"")</f>
        <v>5.1225806451612907</v>
      </c>
      <c r="AD197" s="101">
        <f>IFERROR(_xlfn.XLOOKUP($D197,'Modelling New'!$D:$D,'Modelling New'!$T:$T)*1000,"")</f>
        <v>29797.679316907321</v>
      </c>
      <c r="AE197" s="109">
        <f>IFERROR(_xlfn.XLOOKUP($D197,'Modelling New'!$D:$D,'Modelling New'!O:O),"")</f>
        <v>0.72522127474099773</v>
      </c>
      <c r="AF197" s="108">
        <f>IFERROR(_xlfn.XLOOKUP($D197,'Modelling New'!$D:$D,'Modelling New'!W:W),"")</f>
        <v>0.1547918527269764</v>
      </c>
      <c r="AG197" s="108">
        <f>IFERROR(_xlfn.XLOOKUP($D197,'Modelling New'!$D:$D,'Modelling New'!AE:AE),"")</f>
        <v>0.98040000000000005</v>
      </c>
      <c r="AH197" s="128">
        <f>IFERROR(_xlfn.XLOOKUP($D197,'Modelling New'!$D:$D,'Modelling New'!AF:AF),"")</f>
        <v>0.98</v>
      </c>
      <c r="AN197" s="105"/>
      <c r="AO197" s="108"/>
      <c r="AP197" s="108"/>
      <c r="AQ197" s="108"/>
      <c r="AR197" s="101">
        <f>'Basic Data'!$B$98/1000</f>
        <v>8.0208999999999993</v>
      </c>
      <c r="AT197" s="7" t="str">
        <f>IFERROR(_xlfn.XLOOKUP(Table13[[#This Row],[Date]],'Raw Data'!$G:$G,'Raw Data'!$AN:$AN),"")</f>
        <v/>
      </c>
      <c r="AU197" s="7">
        <f>IFERROR(_xlfn.XLOOKUP(Table13[[#This Row],[Month Year]],'Modelling New'!$D:$D,'Modelling New'!$AO:$AO),"")</f>
        <v>8</v>
      </c>
      <c r="AV197" s="7">
        <f>SUMIF('Curtailment Records'!$C:$C,Table13[[#This Row],[Date]],'Curtailment Records'!$R:$R)/1000</f>
        <v>0</v>
      </c>
    </row>
    <row r="198" spans="1:48" x14ac:dyDescent="0.3">
      <c r="A198" s="100">
        <f t="shared" si="15"/>
        <v>45941</v>
      </c>
      <c r="B198" s="101">
        <f>YEAR(Table13[[#This Row],[Date]])+IF(MONTH(Table13[[#This Row],[Date]])&gt;=4,1,0)</f>
        <v>2026</v>
      </c>
      <c r="C198" s="7">
        <f>YEAR(Table13[[#This Row],[Date]])</f>
        <v>2025</v>
      </c>
      <c r="D198" s="102">
        <f>Table13[[#This Row],[Date]]-DAY(Table13[[#This Row],[Date]])+1</f>
        <v>45931</v>
      </c>
      <c r="E198" s="7">
        <f t="shared" si="12"/>
        <v>31</v>
      </c>
      <c r="F198" s="103" t="str">
        <f>IFERROR(_xlfn.XLOOKUP($A198,'Raw Data'!$G:$G,'Raw Data'!$AM:$AM),"")</f>
        <v/>
      </c>
      <c r="G198" s="104" t="str">
        <f>IFERROR(_xlfn.XLOOKUP($A198,'Raw Data'!$G:$G,'Raw Data'!$AB:$AB),"")</f>
        <v/>
      </c>
      <c r="H198" s="104"/>
      <c r="I198" s="104" t="str">
        <f>IFERROR(_xlfn.XLOOKUP($A198,'Raw Data'!$G:$G,'Raw Data'!$AC:$AC),"")</f>
        <v/>
      </c>
      <c r="J198" s="104"/>
      <c r="K198" s="104" t="str">
        <f>IFERROR(_xlfn.XLOOKUP($A198,'Raw Data'!$G:$G,'Raw Data'!AD:AD),"")</f>
        <v/>
      </c>
      <c r="L198" s="104" t="str">
        <f>IFERROR(_xlfn.XLOOKUP($A198,'Raw Data'!$G:$G,'Raw Data'!AE:AE),"")</f>
        <v/>
      </c>
      <c r="M198" s="104" t="str">
        <f>IFERROR(_xlfn.XLOOKUP($A198,'Raw Data'!$G:$G,'Raw Data'!AF:AF),"")</f>
        <v/>
      </c>
      <c r="N198" s="104" t="str">
        <f>IFERROR(_xlfn.XLOOKUP($A198,'Raw Data'!$G:$G,'Raw Data'!AG:AG),"")</f>
        <v/>
      </c>
      <c r="O198" s="105" t="str">
        <f>IFERROR(1-SUMIF('Plant BD'!$B:$B,$A198,'Plant BD'!$AM:$AM)/($AA198+SUMIF('Plant BD'!$B:$B,$A198,'Plant BD'!$AM:$AM)),"")</f>
        <v/>
      </c>
      <c r="P198" s="105"/>
      <c r="Q198" s="106"/>
      <c r="R198" s="105" t="str">
        <f>IFERROR(1-SUMIF('Grid BD'!$B:$B,$A198,'Grid BD'!$AE:$AE)/($AA198+SUMIF('Grid BD'!$B:$B,$A198,'Grid BD'!$AE:$AE)),"")</f>
        <v/>
      </c>
      <c r="T198" s="106"/>
      <c r="U198" s="107" t="str">
        <f t="shared" si="13"/>
        <v/>
      </c>
      <c r="V198" s="107"/>
      <c r="W198" s="108" t="str">
        <f t="shared" si="14"/>
        <v/>
      </c>
      <c r="X198" s="101" t="str">
        <f>IFERROR(_xlfn.XLOOKUP($A198,'Raw Data'!$G:$G,'Raw Data'!AI:AI),"")</f>
        <v/>
      </c>
      <c r="Y198" s="101" t="str">
        <f>IFERROR(_xlfn.XLOOKUP($A198,'Raw Data'!$G:$G,'Raw Data'!AJ:AJ),"")</f>
        <v/>
      </c>
      <c r="Z198" s="101" t="str">
        <f>IFERROR(_xlfn.XLOOKUP($A198,'Raw Data'!$G:$G,'Raw Data'!AK:AK),"")</f>
        <v/>
      </c>
      <c r="AA198" s="101" t="str">
        <f>IFERROR(_xlfn.XLOOKUP($A198,'Raw Data'!$G:$G,'Raw Data'!$AL:$AL)*(1+(_xlfn.XLOOKUP(Table13[[#This Row],[Month Year]],JMR!$A:$A,JMR!$J:$J))),"")</f>
        <v/>
      </c>
      <c r="AB198" s="101" t="str">
        <f>IFERROR(_xlfn.XLOOKUP($A198,'Raw Data'!$G:$G,'Raw Data'!H:H),"")</f>
        <v/>
      </c>
      <c r="AC198" s="67">
        <f>IFERROR(_xlfn.XLOOKUP($D198,'Modelling New'!$D:$D,'Modelling New'!P:P),"")</f>
        <v>5.1225806451612907</v>
      </c>
      <c r="AD198" s="101">
        <f>IFERROR(_xlfn.XLOOKUP($D198,'Modelling New'!$D:$D,'Modelling New'!$T:$T)*1000,"")</f>
        <v>29797.679316907321</v>
      </c>
      <c r="AE198" s="109">
        <f>IFERROR(_xlfn.XLOOKUP($D198,'Modelling New'!$D:$D,'Modelling New'!O:O),"")</f>
        <v>0.72522127474099773</v>
      </c>
      <c r="AF198" s="108">
        <f>IFERROR(_xlfn.XLOOKUP($D198,'Modelling New'!$D:$D,'Modelling New'!W:W),"")</f>
        <v>0.1547918527269764</v>
      </c>
      <c r="AG198" s="108">
        <f>IFERROR(_xlfn.XLOOKUP($D198,'Modelling New'!$D:$D,'Modelling New'!AE:AE),"")</f>
        <v>0.98040000000000005</v>
      </c>
      <c r="AH198" s="128">
        <f>IFERROR(_xlfn.XLOOKUP($D198,'Modelling New'!$D:$D,'Modelling New'!AF:AF),"")</f>
        <v>0.98</v>
      </c>
      <c r="AN198" s="105"/>
      <c r="AO198" s="108"/>
      <c r="AP198" s="108"/>
      <c r="AQ198" s="108"/>
      <c r="AR198" s="101">
        <f>'Basic Data'!$B$98/1000</f>
        <v>8.0208999999999993</v>
      </c>
      <c r="AT198" s="7" t="str">
        <f>IFERROR(_xlfn.XLOOKUP(Table13[[#This Row],[Date]],'Raw Data'!$G:$G,'Raw Data'!$AN:$AN),"")</f>
        <v/>
      </c>
      <c r="AU198" s="7">
        <f>IFERROR(_xlfn.XLOOKUP(Table13[[#This Row],[Month Year]],'Modelling New'!$D:$D,'Modelling New'!$AO:$AO),"")</f>
        <v>8</v>
      </c>
      <c r="AV198" s="7">
        <f>SUMIF('Curtailment Records'!$C:$C,Table13[[#This Row],[Date]],'Curtailment Records'!$R:$R)/1000</f>
        <v>0</v>
      </c>
    </row>
    <row r="199" spans="1:48" x14ac:dyDescent="0.3">
      <c r="A199" s="100">
        <f t="shared" si="15"/>
        <v>45942</v>
      </c>
      <c r="B199" s="101">
        <f>YEAR(Table13[[#This Row],[Date]])+IF(MONTH(Table13[[#This Row],[Date]])&gt;=4,1,0)</f>
        <v>2026</v>
      </c>
      <c r="C199" s="7">
        <f>YEAR(Table13[[#This Row],[Date]])</f>
        <v>2025</v>
      </c>
      <c r="D199" s="102">
        <f>Table13[[#This Row],[Date]]-DAY(Table13[[#This Row],[Date]])+1</f>
        <v>45931</v>
      </c>
      <c r="E199" s="7">
        <f t="shared" si="12"/>
        <v>31</v>
      </c>
      <c r="F199" s="103" t="str">
        <f>IFERROR(_xlfn.XLOOKUP($A199,'Raw Data'!$G:$G,'Raw Data'!$AM:$AM),"")</f>
        <v/>
      </c>
      <c r="G199" s="104" t="str">
        <f>IFERROR(_xlfn.XLOOKUP($A199,'Raw Data'!$G:$G,'Raw Data'!$AB:$AB),"")</f>
        <v/>
      </c>
      <c r="H199" s="104"/>
      <c r="I199" s="104" t="str">
        <f>IFERROR(_xlfn.XLOOKUP($A199,'Raw Data'!$G:$G,'Raw Data'!$AC:$AC),"")</f>
        <v/>
      </c>
      <c r="J199" s="104"/>
      <c r="K199" s="104" t="str">
        <f>IFERROR(_xlfn.XLOOKUP($A199,'Raw Data'!$G:$G,'Raw Data'!AD:AD),"")</f>
        <v/>
      </c>
      <c r="L199" s="104" t="str">
        <f>IFERROR(_xlfn.XLOOKUP($A199,'Raw Data'!$G:$G,'Raw Data'!AE:AE),"")</f>
        <v/>
      </c>
      <c r="M199" s="104" t="str">
        <f>IFERROR(_xlfn.XLOOKUP($A199,'Raw Data'!$G:$G,'Raw Data'!AF:AF),"")</f>
        <v/>
      </c>
      <c r="N199" s="104" t="str">
        <f>IFERROR(_xlfn.XLOOKUP($A199,'Raw Data'!$G:$G,'Raw Data'!AG:AG),"")</f>
        <v/>
      </c>
      <c r="O199" s="105" t="str">
        <f>IFERROR(1-SUMIF('Plant BD'!$B:$B,$A199,'Plant BD'!$AM:$AM)/($AA199+SUMIF('Plant BD'!$B:$B,$A199,'Plant BD'!$AM:$AM)),"")</f>
        <v/>
      </c>
      <c r="P199" s="105"/>
      <c r="Q199" s="106"/>
      <c r="R199" s="105" t="str">
        <f>IFERROR(1-SUMIF('Grid BD'!$B:$B,$A199,'Grid BD'!$AE:$AE)/($AA199+SUMIF('Grid BD'!$B:$B,$A199,'Grid BD'!$AE:$AE)),"")</f>
        <v/>
      </c>
      <c r="T199" s="106"/>
      <c r="U199" s="107" t="str">
        <f t="shared" si="13"/>
        <v/>
      </c>
      <c r="V199" s="107"/>
      <c r="W199" s="108" t="str">
        <f t="shared" si="14"/>
        <v/>
      </c>
      <c r="X199" s="101" t="str">
        <f>IFERROR(_xlfn.XLOOKUP($A199,'Raw Data'!$G:$G,'Raw Data'!AI:AI),"")</f>
        <v/>
      </c>
      <c r="Y199" s="101" t="str">
        <f>IFERROR(_xlfn.XLOOKUP($A199,'Raw Data'!$G:$G,'Raw Data'!AJ:AJ),"")</f>
        <v/>
      </c>
      <c r="Z199" s="101" t="str">
        <f>IFERROR(_xlfn.XLOOKUP($A199,'Raw Data'!$G:$G,'Raw Data'!AK:AK),"")</f>
        <v/>
      </c>
      <c r="AA199" s="101" t="str">
        <f>IFERROR(_xlfn.XLOOKUP($A199,'Raw Data'!$G:$G,'Raw Data'!$AL:$AL)*(1+(_xlfn.XLOOKUP(Table13[[#This Row],[Month Year]],JMR!$A:$A,JMR!$J:$J))),"")</f>
        <v/>
      </c>
      <c r="AB199" s="101" t="str">
        <f>IFERROR(_xlfn.XLOOKUP($A199,'Raw Data'!$G:$G,'Raw Data'!H:H),"")</f>
        <v/>
      </c>
      <c r="AC199" s="67">
        <f>IFERROR(_xlfn.XLOOKUP($D199,'Modelling New'!$D:$D,'Modelling New'!P:P),"")</f>
        <v>5.1225806451612907</v>
      </c>
      <c r="AD199" s="101">
        <f>IFERROR(_xlfn.XLOOKUP($D199,'Modelling New'!$D:$D,'Modelling New'!$T:$T)*1000,"")</f>
        <v>29797.679316907321</v>
      </c>
      <c r="AE199" s="109">
        <f>IFERROR(_xlfn.XLOOKUP($D199,'Modelling New'!$D:$D,'Modelling New'!O:O),"")</f>
        <v>0.72522127474099773</v>
      </c>
      <c r="AF199" s="108">
        <f>IFERROR(_xlfn.XLOOKUP($D199,'Modelling New'!$D:$D,'Modelling New'!W:W),"")</f>
        <v>0.1547918527269764</v>
      </c>
      <c r="AG199" s="108">
        <f>IFERROR(_xlfn.XLOOKUP($D199,'Modelling New'!$D:$D,'Modelling New'!AE:AE),"")</f>
        <v>0.98040000000000005</v>
      </c>
      <c r="AH199" s="128">
        <f>IFERROR(_xlfn.XLOOKUP($D199,'Modelling New'!$D:$D,'Modelling New'!AF:AF),"")</f>
        <v>0.98</v>
      </c>
      <c r="AN199" s="105"/>
      <c r="AO199" s="108"/>
      <c r="AP199" s="108"/>
      <c r="AQ199" s="108"/>
      <c r="AR199" s="101">
        <f>'Basic Data'!$B$98/1000</f>
        <v>8.0208999999999993</v>
      </c>
      <c r="AT199" s="7" t="str">
        <f>IFERROR(_xlfn.XLOOKUP(Table13[[#This Row],[Date]],'Raw Data'!$G:$G,'Raw Data'!$AN:$AN),"")</f>
        <v/>
      </c>
      <c r="AU199" s="7">
        <f>IFERROR(_xlfn.XLOOKUP(Table13[[#This Row],[Month Year]],'Modelling New'!$D:$D,'Modelling New'!$AO:$AO),"")</f>
        <v>8</v>
      </c>
      <c r="AV199" s="7">
        <f>SUMIF('Curtailment Records'!$C:$C,Table13[[#This Row],[Date]],'Curtailment Records'!$R:$R)/1000</f>
        <v>0</v>
      </c>
    </row>
    <row r="200" spans="1:48" x14ac:dyDescent="0.3">
      <c r="A200" s="100">
        <f t="shared" si="15"/>
        <v>45943</v>
      </c>
      <c r="B200" s="101">
        <f>YEAR(Table13[[#This Row],[Date]])+IF(MONTH(Table13[[#This Row],[Date]])&gt;=4,1,0)</f>
        <v>2026</v>
      </c>
      <c r="C200" s="7">
        <f>YEAR(Table13[[#This Row],[Date]])</f>
        <v>2025</v>
      </c>
      <c r="D200" s="102">
        <f>Table13[[#This Row],[Date]]-DAY(Table13[[#This Row],[Date]])+1</f>
        <v>45931</v>
      </c>
      <c r="E200" s="7">
        <f t="shared" si="12"/>
        <v>31</v>
      </c>
      <c r="F200" s="103" t="str">
        <f>IFERROR(_xlfn.XLOOKUP($A200,'Raw Data'!$G:$G,'Raw Data'!$AM:$AM),"")</f>
        <v/>
      </c>
      <c r="G200" s="104" t="str">
        <f>IFERROR(_xlfn.XLOOKUP($A200,'Raw Data'!$G:$G,'Raw Data'!$AB:$AB),"")</f>
        <v/>
      </c>
      <c r="H200" s="104"/>
      <c r="I200" s="104" t="str">
        <f>IFERROR(_xlfn.XLOOKUP($A200,'Raw Data'!$G:$G,'Raw Data'!$AC:$AC),"")</f>
        <v/>
      </c>
      <c r="J200" s="104"/>
      <c r="K200" s="104" t="str">
        <f>IFERROR(_xlfn.XLOOKUP($A200,'Raw Data'!$G:$G,'Raw Data'!AD:AD),"")</f>
        <v/>
      </c>
      <c r="L200" s="104" t="str">
        <f>IFERROR(_xlfn.XLOOKUP($A200,'Raw Data'!$G:$G,'Raw Data'!AE:AE),"")</f>
        <v/>
      </c>
      <c r="M200" s="104" t="str">
        <f>IFERROR(_xlfn.XLOOKUP($A200,'Raw Data'!$G:$G,'Raw Data'!AF:AF),"")</f>
        <v/>
      </c>
      <c r="N200" s="104" t="str">
        <f>IFERROR(_xlfn.XLOOKUP($A200,'Raw Data'!$G:$G,'Raw Data'!AG:AG),"")</f>
        <v/>
      </c>
      <c r="O200" s="105" t="str">
        <f>IFERROR(1-SUMIF('Plant BD'!$B:$B,$A200,'Plant BD'!$AM:$AM)/($AA200+SUMIF('Plant BD'!$B:$B,$A200,'Plant BD'!$AM:$AM)),"")</f>
        <v/>
      </c>
      <c r="P200" s="105"/>
      <c r="Q200" s="106"/>
      <c r="R200" s="105" t="str">
        <f>IFERROR(1-SUMIF('Grid BD'!$B:$B,$A200,'Grid BD'!$AE:$AE)/($AA200+SUMIF('Grid BD'!$B:$B,$A200,'Grid BD'!$AE:$AE)),"")</f>
        <v/>
      </c>
      <c r="T200" s="106"/>
      <c r="U200" s="107" t="str">
        <f t="shared" si="13"/>
        <v/>
      </c>
      <c r="V200" s="107"/>
      <c r="W200" s="108" t="str">
        <f t="shared" si="14"/>
        <v/>
      </c>
      <c r="X200" s="101" t="str">
        <f>IFERROR(_xlfn.XLOOKUP($A200,'Raw Data'!$G:$G,'Raw Data'!AI:AI),"")</f>
        <v/>
      </c>
      <c r="Y200" s="101" t="str">
        <f>IFERROR(_xlfn.XLOOKUP($A200,'Raw Data'!$G:$G,'Raw Data'!AJ:AJ),"")</f>
        <v/>
      </c>
      <c r="Z200" s="101" t="str">
        <f>IFERROR(_xlfn.XLOOKUP($A200,'Raw Data'!$G:$G,'Raw Data'!AK:AK),"")</f>
        <v/>
      </c>
      <c r="AA200" s="101" t="str">
        <f>IFERROR(_xlfn.XLOOKUP($A200,'Raw Data'!$G:$G,'Raw Data'!$AL:$AL)*(1+(_xlfn.XLOOKUP(Table13[[#This Row],[Month Year]],JMR!$A:$A,JMR!$J:$J))),"")</f>
        <v/>
      </c>
      <c r="AB200" s="101" t="str">
        <f>IFERROR(_xlfn.XLOOKUP($A200,'Raw Data'!$G:$G,'Raw Data'!H:H),"")</f>
        <v/>
      </c>
      <c r="AC200" s="67">
        <f>IFERROR(_xlfn.XLOOKUP($D200,'Modelling New'!$D:$D,'Modelling New'!P:P),"")</f>
        <v>5.1225806451612907</v>
      </c>
      <c r="AD200" s="101">
        <f>IFERROR(_xlfn.XLOOKUP($D200,'Modelling New'!$D:$D,'Modelling New'!$T:$T)*1000,"")</f>
        <v>29797.679316907321</v>
      </c>
      <c r="AE200" s="109">
        <f>IFERROR(_xlfn.XLOOKUP($D200,'Modelling New'!$D:$D,'Modelling New'!O:O),"")</f>
        <v>0.72522127474099773</v>
      </c>
      <c r="AF200" s="108">
        <f>IFERROR(_xlfn.XLOOKUP($D200,'Modelling New'!$D:$D,'Modelling New'!W:W),"")</f>
        <v>0.1547918527269764</v>
      </c>
      <c r="AG200" s="108">
        <f>IFERROR(_xlfn.XLOOKUP($D200,'Modelling New'!$D:$D,'Modelling New'!AE:AE),"")</f>
        <v>0.98040000000000005</v>
      </c>
      <c r="AH200" s="128">
        <f>IFERROR(_xlfn.XLOOKUP($D200,'Modelling New'!$D:$D,'Modelling New'!AF:AF),"")</f>
        <v>0.98</v>
      </c>
      <c r="AN200" s="105"/>
      <c r="AO200" s="108"/>
      <c r="AP200" s="108"/>
      <c r="AQ200" s="108"/>
      <c r="AR200" s="101">
        <f>'Basic Data'!$B$98/1000</f>
        <v>8.0208999999999993</v>
      </c>
      <c r="AT200" s="7" t="str">
        <f>IFERROR(_xlfn.XLOOKUP(Table13[[#This Row],[Date]],'Raw Data'!$G:$G,'Raw Data'!$AN:$AN),"")</f>
        <v/>
      </c>
      <c r="AU200" s="7">
        <f>IFERROR(_xlfn.XLOOKUP(Table13[[#This Row],[Month Year]],'Modelling New'!$D:$D,'Modelling New'!$AO:$AO),"")</f>
        <v>8</v>
      </c>
      <c r="AV200" s="7">
        <f>SUMIF('Curtailment Records'!$C:$C,Table13[[#This Row],[Date]],'Curtailment Records'!$R:$R)/1000</f>
        <v>0</v>
      </c>
    </row>
    <row r="201" spans="1:48" x14ac:dyDescent="0.3">
      <c r="A201" s="100">
        <f t="shared" si="15"/>
        <v>45944</v>
      </c>
      <c r="B201" s="101">
        <f>YEAR(Table13[[#This Row],[Date]])+IF(MONTH(Table13[[#This Row],[Date]])&gt;=4,1,0)</f>
        <v>2026</v>
      </c>
      <c r="C201" s="7">
        <f>YEAR(Table13[[#This Row],[Date]])</f>
        <v>2025</v>
      </c>
      <c r="D201" s="102">
        <f>Table13[[#This Row],[Date]]-DAY(Table13[[#This Row],[Date]])+1</f>
        <v>45931</v>
      </c>
      <c r="E201" s="7">
        <f t="shared" si="12"/>
        <v>31</v>
      </c>
      <c r="F201" s="103" t="str">
        <f>IFERROR(_xlfn.XLOOKUP($A201,'Raw Data'!$G:$G,'Raw Data'!$AM:$AM),"")</f>
        <v/>
      </c>
      <c r="G201" s="104" t="str">
        <f>IFERROR(_xlfn.XLOOKUP($A201,'Raw Data'!$G:$G,'Raw Data'!$AB:$AB),"")</f>
        <v/>
      </c>
      <c r="H201" s="104"/>
      <c r="I201" s="104" t="str">
        <f>IFERROR(_xlfn.XLOOKUP($A201,'Raw Data'!$G:$G,'Raw Data'!$AC:$AC),"")</f>
        <v/>
      </c>
      <c r="J201" s="104"/>
      <c r="K201" s="104" t="str">
        <f>IFERROR(_xlfn.XLOOKUP($A201,'Raw Data'!$G:$G,'Raw Data'!AD:AD),"")</f>
        <v/>
      </c>
      <c r="L201" s="104" t="str">
        <f>IFERROR(_xlfn.XLOOKUP($A201,'Raw Data'!$G:$G,'Raw Data'!AE:AE),"")</f>
        <v/>
      </c>
      <c r="M201" s="104" t="str">
        <f>IFERROR(_xlfn.XLOOKUP($A201,'Raw Data'!$G:$G,'Raw Data'!AF:AF),"")</f>
        <v/>
      </c>
      <c r="N201" s="104" t="str">
        <f>IFERROR(_xlfn.XLOOKUP($A201,'Raw Data'!$G:$G,'Raw Data'!AG:AG),"")</f>
        <v/>
      </c>
      <c r="O201" s="105" t="str">
        <f>IFERROR(1-SUMIF('Plant BD'!$B:$B,$A201,'Plant BD'!$AM:$AM)/($AA201+SUMIF('Plant BD'!$B:$B,$A201,'Plant BD'!$AM:$AM)),"")</f>
        <v/>
      </c>
      <c r="P201" s="105"/>
      <c r="Q201" s="106"/>
      <c r="R201" s="105" t="str">
        <f>IFERROR(1-SUMIF('Grid BD'!$B:$B,$A201,'Grid BD'!$AE:$AE)/($AA201+SUMIF('Grid BD'!$B:$B,$A201,'Grid BD'!$AE:$AE)),"")</f>
        <v/>
      </c>
      <c r="T201" s="106"/>
      <c r="U201" s="107" t="str">
        <f t="shared" si="13"/>
        <v/>
      </c>
      <c r="V201" s="107"/>
      <c r="W201" s="108" t="str">
        <f t="shared" si="14"/>
        <v/>
      </c>
      <c r="X201" s="101" t="str">
        <f>IFERROR(_xlfn.XLOOKUP($A201,'Raw Data'!$G:$G,'Raw Data'!AI:AI),"")</f>
        <v/>
      </c>
      <c r="Y201" s="101" t="str">
        <f>IFERROR(_xlfn.XLOOKUP($A201,'Raw Data'!$G:$G,'Raw Data'!AJ:AJ),"")</f>
        <v/>
      </c>
      <c r="Z201" s="101" t="str">
        <f>IFERROR(_xlfn.XLOOKUP($A201,'Raw Data'!$G:$G,'Raw Data'!AK:AK),"")</f>
        <v/>
      </c>
      <c r="AA201" s="101" t="str">
        <f>IFERROR(_xlfn.XLOOKUP($A201,'Raw Data'!$G:$G,'Raw Data'!$AL:$AL)*(1+(_xlfn.XLOOKUP(Table13[[#This Row],[Month Year]],JMR!$A:$A,JMR!$J:$J))),"")</f>
        <v/>
      </c>
      <c r="AB201" s="101" t="str">
        <f>IFERROR(_xlfn.XLOOKUP($A201,'Raw Data'!$G:$G,'Raw Data'!H:H),"")</f>
        <v/>
      </c>
      <c r="AC201" s="67">
        <f>IFERROR(_xlfn.XLOOKUP($D201,'Modelling New'!$D:$D,'Modelling New'!P:P),"")</f>
        <v>5.1225806451612907</v>
      </c>
      <c r="AD201" s="101">
        <f>IFERROR(_xlfn.XLOOKUP($D201,'Modelling New'!$D:$D,'Modelling New'!$T:$T)*1000,"")</f>
        <v>29797.679316907321</v>
      </c>
      <c r="AE201" s="109">
        <f>IFERROR(_xlfn.XLOOKUP($D201,'Modelling New'!$D:$D,'Modelling New'!O:O),"")</f>
        <v>0.72522127474099773</v>
      </c>
      <c r="AF201" s="108">
        <f>IFERROR(_xlfn.XLOOKUP($D201,'Modelling New'!$D:$D,'Modelling New'!W:W),"")</f>
        <v>0.1547918527269764</v>
      </c>
      <c r="AG201" s="108">
        <f>IFERROR(_xlfn.XLOOKUP($D201,'Modelling New'!$D:$D,'Modelling New'!AE:AE),"")</f>
        <v>0.98040000000000005</v>
      </c>
      <c r="AH201" s="128">
        <f>IFERROR(_xlfn.XLOOKUP($D201,'Modelling New'!$D:$D,'Modelling New'!AF:AF),"")</f>
        <v>0.98</v>
      </c>
      <c r="AN201" s="105"/>
      <c r="AO201" s="108"/>
      <c r="AP201" s="108"/>
      <c r="AQ201" s="108"/>
      <c r="AR201" s="101">
        <f>'Basic Data'!$B$98/1000</f>
        <v>8.0208999999999993</v>
      </c>
      <c r="AT201" s="7" t="str">
        <f>IFERROR(_xlfn.XLOOKUP(Table13[[#This Row],[Date]],'Raw Data'!$G:$G,'Raw Data'!$AN:$AN),"")</f>
        <v/>
      </c>
      <c r="AU201" s="7">
        <f>IFERROR(_xlfn.XLOOKUP(Table13[[#This Row],[Month Year]],'Modelling New'!$D:$D,'Modelling New'!$AO:$AO),"")</f>
        <v>8</v>
      </c>
      <c r="AV201" s="7">
        <f>SUMIF('Curtailment Records'!$C:$C,Table13[[#This Row],[Date]],'Curtailment Records'!$R:$R)/1000</f>
        <v>0</v>
      </c>
    </row>
    <row r="202" spans="1:48" x14ac:dyDescent="0.3">
      <c r="A202" s="100">
        <f t="shared" si="15"/>
        <v>45945</v>
      </c>
      <c r="B202" s="101">
        <f>YEAR(Table13[[#This Row],[Date]])+IF(MONTH(Table13[[#This Row],[Date]])&gt;=4,1,0)</f>
        <v>2026</v>
      </c>
      <c r="C202" s="7">
        <f>YEAR(Table13[[#This Row],[Date]])</f>
        <v>2025</v>
      </c>
      <c r="D202" s="102">
        <f>Table13[[#This Row],[Date]]-DAY(Table13[[#This Row],[Date]])+1</f>
        <v>45931</v>
      </c>
      <c r="E202" s="7">
        <f t="shared" si="12"/>
        <v>31</v>
      </c>
      <c r="F202" s="103" t="str">
        <f>IFERROR(_xlfn.XLOOKUP($A202,'Raw Data'!$G:$G,'Raw Data'!$AM:$AM),"")</f>
        <v/>
      </c>
      <c r="G202" s="104" t="str">
        <f>IFERROR(_xlfn.XLOOKUP($A202,'Raw Data'!$G:$G,'Raw Data'!$AB:$AB),"")</f>
        <v/>
      </c>
      <c r="H202" s="104"/>
      <c r="I202" s="104" t="str">
        <f>IFERROR(_xlfn.XLOOKUP($A202,'Raw Data'!$G:$G,'Raw Data'!$AC:$AC),"")</f>
        <v/>
      </c>
      <c r="J202" s="104"/>
      <c r="K202" s="104" t="str">
        <f>IFERROR(_xlfn.XLOOKUP($A202,'Raw Data'!$G:$G,'Raw Data'!AD:AD),"")</f>
        <v/>
      </c>
      <c r="L202" s="104" t="str">
        <f>IFERROR(_xlfn.XLOOKUP($A202,'Raw Data'!$G:$G,'Raw Data'!AE:AE),"")</f>
        <v/>
      </c>
      <c r="M202" s="104" t="str">
        <f>IFERROR(_xlfn.XLOOKUP($A202,'Raw Data'!$G:$G,'Raw Data'!AF:AF),"")</f>
        <v/>
      </c>
      <c r="N202" s="104" t="str">
        <f>IFERROR(_xlfn.XLOOKUP($A202,'Raw Data'!$G:$G,'Raw Data'!AG:AG),"")</f>
        <v/>
      </c>
      <c r="O202" s="105" t="str">
        <f>IFERROR(1-SUMIF('Plant BD'!$B:$B,$A202,'Plant BD'!$AM:$AM)/($AA202+SUMIF('Plant BD'!$B:$B,$A202,'Plant BD'!$AM:$AM)),"")</f>
        <v/>
      </c>
      <c r="P202" s="105"/>
      <c r="Q202" s="106"/>
      <c r="R202" s="105" t="str">
        <f>IFERROR(1-SUMIF('Grid BD'!$B:$B,$A202,'Grid BD'!$AE:$AE)/($AA202+SUMIF('Grid BD'!$B:$B,$A202,'Grid BD'!$AE:$AE)),"")</f>
        <v/>
      </c>
      <c r="T202" s="106"/>
      <c r="U202" s="107" t="str">
        <f t="shared" si="13"/>
        <v/>
      </c>
      <c r="V202" s="107"/>
      <c r="W202" s="108" t="str">
        <f t="shared" si="14"/>
        <v/>
      </c>
      <c r="X202" s="101" t="str">
        <f>IFERROR(_xlfn.XLOOKUP($A202,'Raw Data'!$G:$G,'Raw Data'!AI:AI),"")</f>
        <v/>
      </c>
      <c r="Y202" s="101" t="str">
        <f>IFERROR(_xlfn.XLOOKUP($A202,'Raw Data'!$G:$G,'Raw Data'!AJ:AJ),"")</f>
        <v/>
      </c>
      <c r="Z202" s="101" t="str">
        <f>IFERROR(_xlfn.XLOOKUP($A202,'Raw Data'!$G:$G,'Raw Data'!AK:AK),"")</f>
        <v/>
      </c>
      <c r="AA202" s="101" t="str">
        <f>IFERROR(_xlfn.XLOOKUP($A202,'Raw Data'!$G:$G,'Raw Data'!$AL:$AL)*(1+(_xlfn.XLOOKUP(Table13[[#This Row],[Month Year]],JMR!$A:$A,JMR!$J:$J))),"")</f>
        <v/>
      </c>
      <c r="AB202" s="101" t="str">
        <f>IFERROR(_xlfn.XLOOKUP($A202,'Raw Data'!$G:$G,'Raw Data'!H:H),"")</f>
        <v/>
      </c>
      <c r="AC202" s="67">
        <f>IFERROR(_xlfn.XLOOKUP($D202,'Modelling New'!$D:$D,'Modelling New'!P:P),"")</f>
        <v>5.1225806451612907</v>
      </c>
      <c r="AD202" s="101">
        <f>IFERROR(_xlfn.XLOOKUP($D202,'Modelling New'!$D:$D,'Modelling New'!$T:$T)*1000,"")</f>
        <v>29797.679316907321</v>
      </c>
      <c r="AE202" s="109">
        <f>IFERROR(_xlfn.XLOOKUP($D202,'Modelling New'!$D:$D,'Modelling New'!O:O),"")</f>
        <v>0.72522127474099773</v>
      </c>
      <c r="AF202" s="108">
        <f>IFERROR(_xlfn.XLOOKUP($D202,'Modelling New'!$D:$D,'Modelling New'!W:W),"")</f>
        <v>0.1547918527269764</v>
      </c>
      <c r="AG202" s="108">
        <f>IFERROR(_xlfn.XLOOKUP($D202,'Modelling New'!$D:$D,'Modelling New'!AE:AE),"")</f>
        <v>0.98040000000000005</v>
      </c>
      <c r="AH202" s="128">
        <f>IFERROR(_xlfn.XLOOKUP($D202,'Modelling New'!$D:$D,'Modelling New'!AF:AF),"")</f>
        <v>0.98</v>
      </c>
      <c r="AN202" s="105"/>
      <c r="AO202" s="108"/>
      <c r="AP202" s="108"/>
      <c r="AQ202" s="108"/>
      <c r="AR202" s="101">
        <f>'Basic Data'!$B$98/1000</f>
        <v>8.0208999999999993</v>
      </c>
      <c r="AT202" s="7" t="str">
        <f>IFERROR(_xlfn.XLOOKUP(Table13[[#This Row],[Date]],'Raw Data'!$G:$G,'Raw Data'!$AN:$AN),"")</f>
        <v/>
      </c>
      <c r="AU202" s="7">
        <f>IFERROR(_xlfn.XLOOKUP(Table13[[#This Row],[Month Year]],'Modelling New'!$D:$D,'Modelling New'!$AO:$AO),"")</f>
        <v>8</v>
      </c>
      <c r="AV202" s="7">
        <f>SUMIF('Curtailment Records'!$C:$C,Table13[[#This Row],[Date]],'Curtailment Records'!$R:$R)/1000</f>
        <v>0</v>
      </c>
    </row>
    <row r="203" spans="1:48" x14ac:dyDescent="0.3">
      <c r="A203" s="100">
        <f t="shared" si="15"/>
        <v>45946</v>
      </c>
      <c r="B203" s="101">
        <f>YEAR(Table13[[#This Row],[Date]])+IF(MONTH(Table13[[#This Row],[Date]])&gt;=4,1,0)</f>
        <v>2026</v>
      </c>
      <c r="C203" s="7">
        <f>YEAR(Table13[[#This Row],[Date]])</f>
        <v>2025</v>
      </c>
      <c r="D203" s="102">
        <f>Table13[[#This Row],[Date]]-DAY(Table13[[#This Row],[Date]])+1</f>
        <v>45931</v>
      </c>
      <c r="E203" s="7">
        <f t="shared" si="12"/>
        <v>31</v>
      </c>
      <c r="F203" s="103" t="str">
        <f>IFERROR(_xlfn.XLOOKUP($A203,'Raw Data'!$G:$G,'Raw Data'!$AM:$AM),"")</f>
        <v/>
      </c>
      <c r="G203" s="104" t="str">
        <f>IFERROR(_xlfn.XLOOKUP($A203,'Raw Data'!$G:$G,'Raw Data'!$AB:$AB),"")</f>
        <v/>
      </c>
      <c r="H203" s="104"/>
      <c r="I203" s="104" t="str">
        <f>IFERROR(_xlfn.XLOOKUP($A203,'Raw Data'!$G:$G,'Raw Data'!$AC:$AC),"")</f>
        <v/>
      </c>
      <c r="J203" s="104"/>
      <c r="K203" s="104" t="str">
        <f>IFERROR(_xlfn.XLOOKUP($A203,'Raw Data'!$G:$G,'Raw Data'!AD:AD),"")</f>
        <v/>
      </c>
      <c r="L203" s="104" t="str">
        <f>IFERROR(_xlfn.XLOOKUP($A203,'Raw Data'!$G:$G,'Raw Data'!AE:AE),"")</f>
        <v/>
      </c>
      <c r="M203" s="104" t="str">
        <f>IFERROR(_xlfn.XLOOKUP($A203,'Raw Data'!$G:$G,'Raw Data'!AF:AF),"")</f>
        <v/>
      </c>
      <c r="N203" s="104" t="str">
        <f>IFERROR(_xlfn.XLOOKUP($A203,'Raw Data'!$G:$G,'Raw Data'!AG:AG),"")</f>
        <v/>
      </c>
      <c r="O203" s="105" t="str">
        <f>IFERROR(1-SUMIF('Plant BD'!$B:$B,$A203,'Plant BD'!$AM:$AM)/($AA203+SUMIF('Plant BD'!$B:$B,$A203,'Plant BD'!$AM:$AM)),"")</f>
        <v/>
      </c>
      <c r="P203" s="105"/>
      <c r="Q203" s="106"/>
      <c r="R203" s="105" t="str">
        <f>IFERROR(1-SUMIF('Grid BD'!$B:$B,$A203,'Grid BD'!$AE:$AE)/($AA203+SUMIF('Grid BD'!$B:$B,$A203,'Grid BD'!$AE:$AE)),"")</f>
        <v/>
      </c>
      <c r="T203" s="106"/>
      <c r="U203" s="107" t="str">
        <f t="shared" si="13"/>
        <v/>
      </c>
      <c r="V203" s="107"/>
      <c r="W203" s="108" t="str">
        <f t="shared" si="14"/>
        <v/>
      </c>
      <c r="X203" s="101" t="str">
        <f>IFERROR(_xlfn.XLOOKUP($A203,'Raw Data'!$G:$G,'Raw Data'!AI:AI),"")</f>
        <v/>
      </c>
      <c r="Y203" s="101" t="str">
        <f>IFERROR(_xlfn.XLOOKUP($A203,'Raw Data'!$G:$G,'Raw Data'!AJ:AJ),"")</f>
        <v/>
      </c>
      <c r="Z203" s="101" t="str">
        <f>IFERROR(_xlfn.XLOOKUP($A203,'Raw Data'!$G:$G,'Raw Data'!AK:AK),"")</f>
        <v/>
      </c>
      <c r="AA203" s="101" t="str">
        <f>IFERROR(_xlfn.XLOOKUP($A203,'Raw Data'!$G:$G,'Raw Data'!$AL:$AL)*(1+(_xlfn.XLOOKUP(Table13[[#This Row],[Month Year]],JMR!$A:$A,JMR!$J:$J))),"")</f>
        <v/>
      </c>
      <c r="AB203" s="101" t="str">
        <f>IFERROR(_xlfn.XLOOKUP($A203,'Raw Data'!$G:$G,'Raw Data'!H:H),"")</f>
        <v/>
      </c>
      <c r="AC203" s="67">
        <f>IFERROR(_xlfn.XLOOKUP($D203,'Modelling New'!$D:$D,'Modelling New'!P:P),"")</f>
        <v>5.1225806451612907</v>
      </c>
      <c r="AD203" s="101">
        <f>IFERROR(_xlfn.XLOOKUP($D203,'Modelling New'!$D:$D,'Modelling New'!$T:$T)*1000,"")</f>
        <v>29797.679316907321</v>
      </c>
      <c r="AE203" s="109">
        <f>IFERROR(_xlfn.XLOOKUP($D203,'Modelling New'!$D:$D,'Modelling New'!O:O),"")</f>
        <v>0.72522127474099773</v>
      </c>
      <c r="AF203" s="108">
        <f>IFERROR(_xlfn.XLOOKUP($D203,'Modelling New'!$D:$D,'Modelling New'!W:W),"")</f>
        <v>0.1547918527269764</v>
      </c>
      <c r="AG203" s="108">
        <f>IFERROR(_xlfn.XLOOKUP($D203,'Modelling New'!$D:$D,'Modelling New'!AE:AE),"")</f>
        <v>0.98040000000000005</v>
      </c>
      <c r="AH203" s="128">
        <f>IFERROR(_xlfn.XLOOKUP($D203,'Modelling New'!$D:$D,'Modelling New'!AF:AF),"")</f>
        <v>0.98</v>
      </c>
      <c r="AN203" s="105"/>
      <c r="AO203" s="108"/>
      <c r="AP203" s="108"/>
      <c r="AQ203" s="108"/>
      <c r="AR203" s="101">
        <f>'Basic Data'!$B$98/1000</f>
        <v>8.0208999999999993</v>
      </c>
      <c r="AT203" s="7" t="str">
        <f>IFERROR(_xlfn.XLOOKUP(Table13[[#This Row],[Date]],'Raw Data'!$G:$G,'Raw Data'!$AN:$AN),"")</f>
        <v/>
      </c>
      <c r="AU203" s="7">
        <f>IFERROR(_xlfn.XLOOKUP(Table13[[#This Row],[Month Year]],'Modelling New'!$D:$D,'Modelling New'!$AO:$AO),"")</f>
        <v>8</v>
      </c>
      <c r="AV203" s="7">
        <f>SUMIF('Curtailment Records'!$C:$C,Table13[[#This Row],[Date]],'Curtailment Records'!$R:$R)/1000</f>
        <v>0</v>
      </c>
    </row>
    <row r="204" spans="1:48" x14ac:dyDescent="0.3">
      <c r="A204" s="100">
        <f t="shared" si="15"/>
        <v>45947</v>
      </c>
      <c r="B204" s="101">
        <f>YEAR(Table13[[#This Row],[Date]])+IF(MONTH(Table13[[#This Row],[Date]])&gt;=4,1,0)</f>
        <v>2026</v>
      </c>
      <c r="C204" s="7">
        <f>YEAR(Table13[[#This Row],[Date]])</f>
        <v>2025</v>
      </c>
      <c r="D204" s="102">
        <f>Table13[[#This Row],[Date]]-DAY(Table13[[#This Row],[Date]])+1</f>
        <v>45931</v>
      </c>
      <c r="E204" s="7">
        <f t="shared" si="12"/>
        <v>31</v>
      </c>
      <c r="F204" s="103" t="str">
        <f>IFERROR(_xlfn.XLOOKUP($A204,'Raw Data'!$G:$G,'Raw Data'!$AM:$AM),"")</f>
        <v/>
      </c>
      <c r="G204" s="104" t="str">
        <f>IFERROR(_xlfn.XLOOKUP($A204,'Raw Data'!$G:$G,'Raw Data'!$AB:$AB),"")</f>
        <v/>
      </c>
      <c r="H204" s="104"/>
      <c r="I204" s="104" t="str">
        <f>IFERROR(_xlfn.XLOOKUP($A204,'Raw Data'!$G:$G,'Raw Data'!$AC:$AC),"")</f>
        <v/>
      </c>
      <c r="J204" s="104"/>
      <c r="K204" s="104" t="str">
        <f>IFERROR(_xlfn.XLOOKUP($A204,'Raw Data'!$G:$G,'Raw Data'!AD:AD),"")</f>
        <v/>
      </c>
      <c r="L204" s="104" t="str">
        <f>IFERROR(_xlfn.XLOOKUP($A204,'Raw Data'!$G:$G,'Raw Data'!AE:AE),"")</f>
        <v/>
      </c>
      <c r="M204" s="104" t="str">
        <f>IFERROR(_xlfn.XLOOKUP($A204,'Raw Data'!$G:$G,'Raw Data'!AF:AF),"")</f>
        <v/>
      </c>
      <c r="N204" s="104" t="str">
        <f>IFERROR(_xlfn.XLOOKUP($A204,'Raw Data'!$G:$G,'Raw Data'!AG:AG),"")</f>
        <v/>
      </c>
      <c r="O204" s="105" t="str">
        <f>IFERROR(1-SUMIF('Plant BD'!$B:$B,$A204,'Plant BD'!$AM:$AM)/($AA204+SUMIF('Plant BD'!$B:$B,$A204,'Plant BD'!$AM:$AM)),"")</f>
        <v/>
      </c>
      <c r="P204" s="105"/>
      <c r="Q204" s="106"/>
      <c r="R204" s="105" t="str">
        <f>IFERROR(1-SUMIF('Grid BD'!$B:$B,$A204,'Grid BD'!$AE:$AE)/($AA204+SUMIF('Grid BD'!$B:$B,$A204,'Grid BD'!$AE:$AE)),"")</f>
        <v/>
      </c>
      <c r="T204" s="106"/>
      <c r="U204" s="107" t="str">
        <f t="shared" si="13"/>
        <v/>
      </c>
      <c r="V204" s="107"/>
      <c r="W204" s="108" t="str">
        <f t="shared" si="14"/>
        <v/>
      </c>
      <c r="X204" s="101" t="str">
        <f>IFERROR(_xlfn.XLOOKUP($A204,'Raw Data'!$G:$G,'Raw Data'!AI:AI),"")</f>
        <v/>
      </c>
      <c r="Y204" s="101" t="str">
        <f>IFERROR(_xlfn.XLOOKUP($A204,'Raw Data'!$G:$G,'Raw Data'!AJ:AJ),"")</f>
        <v/>
      </c>
      <c r="Z204" s="101" t="str">
        <f>IFERROR(_xlfn.XLOOKUP($A204,'Raw Data'!$G:$G,'Raw Data'!AK:AK),"")</f>
        <v/>
      </c>
      <c r="AA204" s="101" t="str">
        <f>IFERROR(_xlfn.XLOOKUP($A204,'Raw Data'!$G:$G,'Raw Data'!$AL:$AL)*(1+(_xlfn.XLOOKUP(Table13[[#This Row],[Month Year]],JMR!$A:$A,JMR!$J:$J))),"")</f>
        <v/>
      </c>
      <c r="AB204" s="101" t="str">
        <f>IFERROR(_xlfn.XLOOKUP($A204,'Raw Data'!$G:$G,'Raw Data'!H:H),"")</f>
        <v/>
      </c>
      <c r="AC204" s="67">
        <f>IFERROR(_xlfn.XLOOKUP($D204,'Modelling New'!$D:$D,'Modelling New'!P:P),"")</f>
        <v>5.1225806451612907</v>
      </c>
      <c r="AD204" s="101">
        <f>IFERROR(_xlfn.XLOOKUP($D204,'Modelling New'!$D:$D,'Modelling New'!$T:$T)*1000,"")</f>
        <v>29797.679316907321</v>
      </c>
      <c r="AE204" s="109">
        <f>IFERROR(_xlfn.XLOOKUP($D204,'Modelling New'!$D:$D,'Modelling New'!O:O),"")</f>
        <v>0.72522127474099773</v>
      </c>
      <c r="AF204" s="108">
        <f>IFERROR(_xlfn.XLOOKUP($D204,'Modelling New'!$D:$D,'Modelling New'!W:W),"")</f>
        <v>0.1547918527269764</v>
      </c>
      <c r="AG204" s="108">
        <f>IFERROR(_xlfn.XLOOKUP($D204,'Modelling New'!$D:$D,'Modelling New'!AE:AE),"")</f>
        <v>0.98040000000000005</v>
      </c>
      <c r="AH204" s="128">
        <f>IFERROR(_xlfn.XLOOKUP($D204,'Modelling New'!$D:$D,'Modelling New'!AF:AF),"")</f>
        <v>0.98</v>
      </c>
      <c r="AN204" s="105"/>
      <c r="AO204" s="108"/>
      <c r="AP204" s="108"/>
      <c r="AQ204" s="108"/>
      <c r="AR204" s="101">
        <f>'Basic Data'!$B$98/1000</f>
        <v>8.0208999999999993</v>
      </c>
      <c r="AT204" s="7" t="str">
        <f>IFERROR(_xlfn.XLOOKUP(Table13[[#This Row],[Date]],'Raw Data'!$G:$G,'Raw Data'!$AN:$AN),"")</f>
        <v/>
      </c>
      <c r="AU204" s="7">
        <f>IFERROR(_xlfn.XLOOKUP(Table13[[#This Row],[Month Year]],'Modelling New'!$D:$D,'Modelling New'!$AO:$AO),"")</f>
        <v>8</v>
      </c>
      <c r="AV204" s="7">
        <f>SUMIF('Curtailment Records'!$C:$C,Table13[[#This Row],[Date]],'Curtailment Records'!$R:$R)/1000</f>
        <v>0</v>
      </c>
    </row>
    <row r="205" spans="1:48" x14ac:dyDescent="0.3">
      <c r="A205" s="100">
        <f t="shared" si="15"/>
        <v>45948</v>
      </c>
      <c r="B205" s="101">
        <f>YEAR(Table13[[#This Row],[Date]])+IF(MONTH(Table13[[#This Row],[Date]])&gt;=4,1,0)</f>
        <v>2026</v>
      </c>
      <c r="C205" s="7">
        <f>YEAR(Table13[[#This Row],[Date]])</f>
        <v>2025</v>
      </c>
      <c r="D205" s="102">
        <f>Table13[[#This Row],[Date]]-DAY(Table13[[#This Row],[Date]])+1</f>
        <v>45931</v>
      </c>
      <c r="E205" s="7">
        <f t="shared" si="12"/>
        <v>31</v>
      </c>
      <c r="F205" s="103" t="str">
        <f>IFERROR(_xlfn.XLOOKUP($A205,'Raw Data'!$G:$G,'Raw Data'!$AM:$AM),"")</f>
        <v/>
      </c>
      <c r="G205" s="104" t="str">
        <f>IFERROR(_xlfn.XLOOKUP($A205,'Raw Data'!$G:$G,'Raw Data'!$AB:$AB),"")</f>
        <v/>
      </c>
      <c r="H205" s="104"/>
      <c r="I205" s="104" t="str">
        <f>IFERROR(_xlfn.XLOOKUP($A205,'Raw Data'!$G:$G,'Raw Data'!$AC:$AC),"")</f>
        <v/>
      </c>
      <c r="J205" s="104"/>
      <c r="K205" s="104" t="str">
        <f>IFERROR(_xlfn.XLOOKUP($A205,'Raw Data'!$G:$G,'Raw Data'!AD:AD),"")</f>
        <v/>
      </c>
      <c r="L205" s="104" t="str">
        <f>IFERROR(_xlfn.XLOOKUP($A205,'Raw Data'!$G:$G,'Raw Data'!AE:AE),"")</f>
        <v/>
      </c>
      <c r="M205" s="104" t="str">
        <f>IFERROR(_xlfn.XLOOKUP($A205,'Raw Data'!$G:$G,'Raw Data'!AF:AF),"")</f>
        <v/>
      </c>
      <c r="N205" s="104" t="str">
        <f>IFERROR(_xlfn.XLOOKUP($A205,'Raw Data'!$G:$G,'Raw Data'!AG:AG),"")</f>
        <v/>
      </c>
      <c r="O205" s="105" t="str">
        <f>IFERROR(1-SUMIF('Plant BD'!$B:$B,$A205,'Plant BD'!$AM:$AM)/($AA205+SUMIF('Plant BD'!$B:$B,$A205,'Plant BD'!$AM:$AM)),"")</f>
        <v/>
      </c>
      <c r="P205" s="105"/>
      <c r="Q205" s="106"/>
      <c r="R205" s="105" t="str">
        <f>IFERROR(1-SUMIF('Grid BD'!$B:$B,$A205,'Grid BD'!$AE:$AE)/($AA205+SUMIF('Grid BD'!$B:$B,$A205,'Grid BD'!$AE:$AE)),"")</f>
        <v/>
      </c>
      <c r="T205" s="106"/>
      <c r="U205" s="107" t="str">
        <f t="shared" si="13"/>
        <v/>
      </c>
      <c r="V205" s="107"/>
      <c r="W205" s="108" t="str">
        <f t="shared" si="14"/>
        <v/>
      </c>
      <c r="X205" s="101" t="str">
        <f>IFERROR(_xlfn.XLOOKUP($A205,'Raw Data'!$G:$G,'Raw Data'!AI:AI),"")</f>
        <v/>
      </c>
      <c r="Y205" s="101" t="str">
        <f>IFERROR(_xlfn.XLOOKUP($A205,'Raw Data'!$G:$G,'Raw Data'!AJ:AJ),"")</f>
        <v/>
      </c>
      <c r="Z205" s="101" t="str">
        <f>IFERROR(_xlfn.XLOOKUP($A205,'Raw Data'!$G:$G,'Raw Data'!AK:AK),"")</f>
        <v/>
      </c>
      <c r="AA205" s="101" t="str">
        <f>IFERROR(_xlfn.XLOOKUP($A205,'Raw Data'!$G:$G,'Raw Data'!$AL:$AL)*(1+(_xlfn.XLOOKUP(Table13[[#This Row],[Month Year]],JMR!$A:$A,JMR!$J:$J))),"")</f>
        <v/>
      </c>
      <c r="AB205" s="101" t="str">
        <f>IFERROR(_xlfn.XLOOKUP($A205,'Raw Data'!$G:$G,'Raw Data'!H:H),"")</f>
        <v/>
      </c>
      <c r="AC205" s="67">
        <f>IFERROR(_xlfn.XLOOKUP($D205,'Modelling New'!$D:$D,'Modelling New'!P:P),"")</f>
        <v>5.1225806451612907</v>
      </c>
      <c r="AD205" s="101">
        <f>IFERROR(_xlfn.XLOOKUP($D205,'Modelling New'!$D:$D,'Modelling New'!$T:$T)*1000,"")</f>
        <v>29797.679316907321</v>
      </c>
      <c r="AE205" s="109">
        <f>IFERROR(_xlfn.XLOOKUP($D205,'Modelling New'!$D:$D,'Modelling New'!O:O),"")</f>
        <v>0.72522127474099773</v>
      </c>
      <c r="AF205" s="108">
        <f>IFERROR(_xlfn.XLOOKUP($D205,'Modelling New'!$D:$D,'Modelling New'!W:W),"")</f>
        <v>0.1547918527269764</v>
      </c>
      <c r="AG205" s="108">
        <f>IFERROR(_xlfn.XLOOKUP($D205,'Modelling New'!$D:$D,'Modelling New'!AE:AE),"")</f>
        <v>0.98040000000000005</v>
      </c>
      <c r="AH205" s="128">
        <f>IFERROR(_xlfn.XLOOKUP($D205,'Modelling New'!$D:$D,'Modelling New'!AF:AF),"")</f>
        <v>0.98</v>
      </c>
      <c r="AN205" s="105"/>
      <c r="AO205" s="108"/>
      <c r="AP205" s="108"/>
      <c r="AQ205" s="108"/>
      <c r="AR205" s="101">
        <f>'Basic Data'!$B$98/1000</f>
        <v>8.0208999999999993</v>
      </c>
      <c r="AT205" s="7" t="str">
        <f>IFERROR(_xlfn.XLOOKUP(Table13[[#This Row],[Date]],'Raw Data'!$G:$G,'Raw Data'!$AN:$AN),"")</f>
        <v/>
      </c>
      <c r="AU205" s="7">
        <f>IFERROR(_xlfn.XLOOKUP(Table13[[#This Row],[Month Year]],'Modelling New'!$D:$D,'Modelling New'!$AO:$AO),"")</f>
        <v>8</v>
      </c>
      <c r="AV205" s="7">
        <f>SUMIF('Curtailment Records'!$C:$C,Table13[[#This Row],[Date]],'Curtailment Records'!$R:$R)/1000</f>
        <v>0</v>
      </c>
    </row>
    <row r="206" spans="1:48" x14ac:dyDescent="0.3">
      <c r="A206" s="100">
        <f t="shared" si="15"/>
        <v>45949</v>
      </c>
      <c r="B206" s="101">
        <f>YEAR(Table13[[#This Row],[Date]])+IF(MONTH(Table13[[#This Row],[Date]])&gt;=4,1,0)</f>
        <v>2026</v>
      </c>
      <c r="C206" s="7">
        <f>YEAR(Table13[[#This Row],[Date]])</f>
        <v>2025</v>
      </c>
      <c r="D206" s="102">
        <f>Table13[[#This Row],[Date]]-DAY(Table13[[#This Row],[Date]])+1</f>
        <v>45931</v>
      </c>
      <c r="E206" s="7">
        <f t="shared" si="12"/>
        <v>31</v>
      </c>
      <c r="F206" s="103" t="str">
        <f>IFERROR(_xlfn.XLOOKUP($A206,'Raw Data'!$G:$G,'Raw Data'!$AM:$AM),"")</f>
        <v/>
      </c>
      <c r="G206" s="104" t="str">
        <f>IFERROR(_xlfn.XLOOKUP($A206,'Raw Data'!$G:$G,'Raw Data'!$AB:$AB),"")</f>
        <v/>
      </c>
      <c r="H206" s="104"/>
      <c r="I206" s="104" t="str">
        <f>IFERROR(_xlfn.XLOOKUP($A206,'Raw Data'!$G:$G,'Raw Data'!$AC:$AC),"")</f>
        <v/>
      </c>
      <c r="J206" s="104"/>
      <c r="K206" s="104" t="str">
        <f>IFERROR(_xlfn.XLOOKUP($A206,'Raw Data'!$G:$G,'Raw Data'!AD:AD),"")</f>
        <v/>
      </c>
      <c r="L206" s="104" t="str">
        <f>IFERROR(_xlfn.XLOOKUP($A206,'Raw Data'!$G:$G,'Raw Data'!AE:AE),"")</f>
        <v/>
      </c>
      <c r="M206" s="104" t="str">
        <f>IFERROR(_xlfn.XLOOKUP($A206,'Raw Data'!$G:$G,'Raw Data'!AF:AF),"")</f>
        <v/>
      </c>
      <c r="N206" s="104" t="str">
        <f>IFERROR(_xlfn.XLOOKUP($A206,'Raw Data'!$G:$G,'Raw Data'!AG:AG),"")</f>
        <v/>
      </c>
      <c r="O206" s="105" t="str">
        <f>IFERROR(1-SUMIF('Plant BD'!$B:$B,$A206,'Plant BD'!$AM:$AM)/($AA206+SUMIF('Plant BD'!$B:$B,$A206,'Plant BD'!$AM:$AM)),"")</f>
        <v/>
      </c>
      <c r="P206" s="105"/>
      <c r="Q206" s="106"/>
      <c r="R206" s="105" t="str">
        <f>IFERROR(1-SUMIF('Grid BD'!$B:$B,$A206,'Grid BD'!$AE:$AE)/($AA206+SUMIF('Grid BD'!$B:$B,$A206,'Grid BD'!$AE:$AE)),"")</f>
        <v/>
      </c>
      <c r="T206" s="106"/>
      <c r="U206" s="107" t="str">
        <f t="shared" si="13"/>
        <v/>
      </c>
      <c r="V206" s="107"/>
      <c r="W206" s="108" t="str">
        <f t="shared" si="14"/>
        <v/>
      </c>
      <c r="X206" s="101" t="str">
        <f>IFERROR(_xlfn.XLOOKUP($A206,'Raw Data'!$G:$G,'Raw Data'!AI:AI),"")</f>
        <v/>
      </c>
      <c r="Y206" s="101" t="str">
        <f>IFERROR(_xlfn.XLOOKUP($A206,'Raw Data'!$G:$G,'Raw Data'!AJ:AJ),"")</f>
        <v/>
      </c>
      <c r="Z206" s="101" t="str">
        <f>IFERROR(_xlfn.XLOOKUP($A206,'Raw Data'!$G:$G,'Raw Data'!AK:AK),"")</f>
        <v/>
      </c>
      <c r="AA206" s="101" t="str">
        <f>IFERROR(_xlfn.XLOOKUP($A206,'Raw Data'!$G:$G,'Raw Data'!$AL:$AL)*(1+(_xlfn.XLOOKUP(Table13[[#This Row],[Month Year]],JMR!$A:$A,JMR!$J:$J))),"")</f>
        <v/>
      </c>
      <c r="AB206" s="101" t="str">
        <f>IFERROR(_xlfn.XLOOKUP($A206,'Raw Data'!$G:$G,'Raw Data'!H:H),"")</f>
        <v/>
      </c>
      <c r="AC206" s="67">
        <f>IFERROR(_xlfn.XLOOKUP($D206,'Modelling New'!$D:$D,'Modelling New'!P:P),"")</f>
        <v>5.1225806451612907</v>
      </c>
      <c r="AD206" s="101">
        <f>IFERROR(_xlfn.XLOOKUP($D206,'Modelling New'!$D:$D,'Modelling New'!$T:$T)*1000,"")</f>
        <v>29797.679316907321</v>
      </c>
      <c r="AE206" s="109">
        <f>IFERROR(_xlfn.XLOOKUP($D206,'Modelling New'!$D:$D,'Modelling New'!O:O),"")</f>
        <v>0.72522127474099773</v>
      </c>
      <c r="AF206" s="108">
        <f>IFERROR(_xlfn.XLOOKUP($D206,'Modelling New'!$D:$D,'Modelling New'!W:W),"")</f>
        <v>0.1547918527269764</v>
      </c>
      <c r="AG206" s="108">
        <f>IFERROR(_xlfn.XLOOKUP($D206,'Modelling New'!$D:$D,'Modelling New'!AE:AE),"")</f>
        <v>0.98040000000000005</v>
      </c>
      <c r="AH206" s="128">
        <f>IFERROR(_xlfn.XLOOKUP($D206,'Modelling New'!$D:$D,'Modelling New'!AF:AF),"")</f>
        <v>0.98</v>
      </c>
      <c r="AN206" s="105"/>
      <c r="AO206" s="108"/>
      <c r="AP206" s="108"/>
      <c r="AQ206" s="108"/>
      <c r="AR206" s="101">
        <f>'Basic Data'!$B$98/1000</f>
        <v>8.0208999999999993</v>
      </c>
      <c r="AT206" s="7" t="str">
        <f>IFERROR(_xlfn.XLOOKUP(Table13[[#This Row],[Date]],'Raw Data'!$G:$G,'Raw Data'!$AN:$AN),"")</f>
        <v/>
      </c>
      <c r="AU206" s="7">
        <f>IFERROR(_xlfn.XLOOKUP(Table13[[#This Row],[Month Year]],'Modelling New'!$D:$D,'Modelling New'!$AO:$AO),"")</f>
        <v>8</v>
      </c>
      <c r="AV206" s="7">
        <f>SUMIF('Curtailment Records'!$C:$C,Table13[[#This Row],[Date]],'Curtailment Records'!$R:$R)/1000</f>
        <v>0</v>
      </c>
    </row>
    <row r="207" spans="1:48" x14ac:dyDescent="0.3">
      <c r="A207" s="100">
        <f t="shared" si="15"/>
        <v>45950</v>
      </c>
      <c r="B207" s="101">
        <f>YEAR(Table13[[#This Row],[Date]])+IF(MONTH(Table13[[#This Row],[Date]])&gt;=4,1,0)</f>
        <v>2026</v>
      </c>
      <c r="C207" s="7">
        <f>YEAR(Table13[[#This Row],[Date]])</f>
        <v>2025</v>
      </c>
      <c r="D207" s="102">
        <f>Table13[[#This Row],[Date]]-DAY(Table13[[#This Row],[Date]])+1</f>
        <v>45931</v>
      </c>
      <c r="E207" s="7">
        <f t="shared" si="12"/>
        <v>31</v>
      </c>
      <c r="F207" s="103" t="str">
        <f>IFERROR(_xlfn.XLOOKUP($A207,'Raw Data'!$G:$G,'Raw Data'!$AM:$AM),"")</f>
        <v/>
      </c>
      <c r="G207" s="104" t="str">
        <f>IFERROR(_xlfn.XLOOKUP($A207,'Raw Data'!$G:$G,'Raw Data'!$AB:$AB),"")</f>
        <v/>
      </c>
      <c r="H207" s="104"/>
      <c r="I207" s="104" t="str">
        <f>IFERROR(_xlfn.XLOOKUP($A207,'Raw Data'!$G:$G,'Raw Data'!$AC:$AC),"")</f>
        <v/>
      </c>
      <c r="J207" s="104"/>
      <c r="K207" s="104" t="str">
        <f>IFERROR(_xlfn.XLOOKUP($A207,'Raw Data'!$G:$G,'Raw Data'!AD:AD),"")</f>
        <v/>
      </c>
      <c r="L207" s="104" t="str">
        <f>IFERROR(_xlfn.XLOOKUP($A207,'Raw Data'!$G:$G,'Raw Data'!AE:AE),"")</f>
        <v/>
      </c>
      <c r="M207" s="104" t="str">
        <f>IFERROR(_xlfn.XLOOKUP($A207,'Raw Data'!$G:$G,'Raw Data'!AF:AF),"")</f>
        <v/>
      </c>
      <c r="N207" s="104" t="str">
        <f>IFERROR(_xlfn.XLOOKUP($A207,'Raw Data'!$G:$G,'Raw Data'!AG:AG),"")</f>
        <v/>
      </c>
      <c r="O207" s="105" t="str">
        <f>IFERROR(1-SUMIF('Plant BD'!$B:$B,$A207,'Plant BD'!$AM:$AM)/($AA207+SUMIF('Plant BD'!$B:$B,$A207,'Plant BD'!$AM:$AM)),"")</f>
        <v/>
      </c>
      <c r="P207" s="105"/>
      <c r="Q207" s="106"/>
      <c r="R207" s="105" t="str">
        <f>IFERROR(1-SUMIF('Grid BD'!$B:$B,$A207,'Grid BD'!$AE:$AE)/($AA207+SUMIF('Grid BD'!$B:$B,$A207,'Grid BD'!$AE:$AE)),"")</f>
        <v/>
      </c>
      <c r="T207" s="106"/>
      <c r="U207" s="107" t="str">
        <f t="shared" si="13"/>
        <v/>
      </c>
      <c r="V207" s="107"/>
      <c r="W207" s="108" t="str">
        <f t="shared" si="14"/>
        <v/>
      </c>
      <c r="X207" s="101" t="str">
        <f>IFERROR(_xlfn.XLOOKUP($A207,'Raw Data'!$G:$G,'Raw Data'!AI:AI),"")</f>
        <v/>
      </c>
      <c r="Y207" s="101" t="str">
        <f>IFERROR(_xlfn.XLOOKUP($A207,'Raw Data'!$G:$G,'Raw Data'!AJ:AJ),"")</f>
        <v/>
      </c>
      <c r="Z207" s="101" t="str">
        <f>IFERROR(_xlfn.XLOOKUP($A207,'Raw Data'!$G:$G,'Raw Data'!AK:AK),"")</f>
        <v/>
      </c>
      <c r="AA207" s="101" t="str">
        <f>IFERROR(_xlfn.XLOOKUP($A207,'Raw Data'!$G:$G,'Raw Data'!$AL:$AL)*(1+(_xlfn.XLOOKUP(Table13[[#This Row],[Month Year]],JMR!$A:$A,JMR!$J:$J))),"")</f>
        <v/>
      </c>
      <c r="AB207" s="101" t="str">
        <f>IFERROR(_xlfn.XLOOKUP($A207,'Raw Data'!$G:$G,'Raw Data'!H:H),"")</f>
        <v/>
      </c>
      <c r="AC207" s="67">
        <f>IFERROR(_xlfn.XLOOKUP($D207,'Modelling New'!$D:$D,'Modelling New'!P:P),"")</f>
        <v>5.1225806451612907</v>
      </c>
      <c r="AD207" s="101">
        <f>IFERROR(_xlfn.XLOOKUP($D207,'Modelling New'!$D:$D,'Modelling New'!$T:$T)*1000,"")</f>
        <v>29797.679316907321</v>
      </c>
      <c r="AE207" s="109">
        <f>IFERROR(_xlfn.XLOOKUP($D207,'Modelling New'!$D:$D,'Modelling New'!O:O),"")</f>
        <v>0.72522127474099773</v>
      </c>
      <c r="AF207" s="108">
        <f>IFERROR(_xlfn.XLOOKUP($D207,'Modelling New'!$D:$D,'Modelling New'!W:W),"")</f>
        <v>0.1547918527269764</v>
      </c>
      <c r="AG207" s="108">
        <f>IFERROR(_xlfn.XLOOKUP($D207,'Modelling New'!$D:$D,'Modelling New'!AE:AE),"")</f>
        <v>0.98040000000000005</v>
      </c>
      <c r="AH207" s="128">
        <f>IFERROR(_xlfn.XLOOKUP($D207,'Modelling New'!$D:$D,'Modelling New'!AF:AF),"")</f>
        <v>0.98</v>
      </c>
      <c r="AN207" s="105"/>
      <c r="AO207" s="108"/>
      <c r="AP207" s="108"/>
      <c r="AQ207" s="108"/>
      <c r="AR207" s="101">
        <f>'Basic Data'!$B$98/1000</f>
        <v>8.0208999999999993</v>
      </c>
      <c r="AT207" s="7" t="str">
        <f>IFERROR(_xlfn.XLOOKUP(Table13[[#This Row],[Date]],'Raw Data'!$G:$G,'Raw Data'!$AN:$AN),"")</f>
        <v/>
      </c>
      <c r="AU207" s="7">
        <f>IFERROR(_xlfn.XLOOKUP(Table13[[#This Row],[Month Year]],'Modelling New'!$D:$D,'Modelling New'!$AO:$AO),"")</f>
        <v>8</v>
      </c>
      <c r="AV207" s="7">
        <f>SUMIF('Curtailment Records'!$C:$C,Table13[[#This Row],[Date]],'Curtailment Records'!$R:$R)/1000</f>
        <v>0</v>
      </c>
    </row>
    <row r="208" spans="1:48" x14ac:dyDescent="0.3">
      <c r="A208" s="100">
        <f t="shared" si="15"/>
        <v>45951</v>
      </c>
      <c r="B208" s="101">
        <f>YEAR(Table13[[#This Row],[Date]])+IF(MONTH(Table13[[#This Row],[Date]])&gt;=4,1,0)</f>
        <v>2026</v>
      </c>
      <c r="C208" s="7">
        <f>YEAR(Table13[[#This Row],[Date]])</f>
        <v>2025</v>
      </c>
      <c r="D208" s="102">
        <f>Table13[[#This Row],[Date]]-DAY(Table13[[#This Row],[Date]])+1</f>
        <v>45931</v>
      </c>
      <c r="E208" s="7">
        <f t="shared" si="12"/>
        <v>31</v>
      </c>
      <c r="F208" s="103" t="str">
        <f>IFERROR(_xlfn.XLOOKUP($A208,'Raw Data'!$G:$G,'Raw Data'!$AM:$AM),"")</f>
        <v/>
      </c>
      <c r="G208" s="104" t="str">
        <f>IFERROR(_xlfn.XLOOKUP($A208,'Raw Data'!$G:$G,'Raw Data'!$AB:$AB),"")</f>
        <v/>
      </c>
      <c r="H208" s="104"/>
      <c r="I208" s="104" t="str">
        <f>IFERROR(_xlfn.XLOOKUP($A208,'Raw Data'!$G:$G,'Raw Data'!$AC:$AC),"")</f>
        <v/>
      </c>
      <c r="J208" s="104"/>
      <c r="K208" s="104" t="str">
        <f>IFERROR(_xlfn.XLOOKUP($A208,'Raw Data'!$G:$G,'Raw Data'!AD:AD),"")</f>
        <v/>
      </c>
      <c r="L208" s="104" t="str">
        <f>IFERROR(_xlfn.XLOOKUP($A208,'Raw Data'!$G:$G,'Raw Data'!AE:AE),"")</f>
        <v/>
      </c>
      <c r="M208" s="104" t="str">
        <f>IFERROR(_xlfn.XLOOKUP($A208,'Raw Data'!$G:$G,'Raw Data'!AF:AF),"")</f>
        <v/>
      </c>
      <c r="N208" s="104" t="str">
        <f>IFERROR(_xlfn.XLOOKUP($A208,'Raw Data'!$G:$G,'Raw Data'!AG:AG),"")</f>
        <v/>
      </c>
      <c r="O208" s="105" t="str">
        <f>IFERROR(1-SUMIF('Plant BD'!$B:$B,$A208,'Plant BD'!$AM:$AM)/($AA208+SUMIF('Plant BD'!$B:$B,$A208,'Plant BD'!$AM:$AM)),"")</f>
        <v/>
      </c>
      <c r="P208" s="105"/>
      <c r="Q208" s="106"/>
      <c r="R208" s="105" t="str">
        <f>IFERROR(1-SUMIF('Grid BD'!$B:$B,$A208,'Grid BD'!$AE:$AE)/($AA208+SUMIF('Grid BD'!$B:$B,$A208,'Grid BD'!$AE:$AE)),"")</f>
        <v/>
      </c>
      <c r="T208" s="106"/>
      <c r="U208" s="107" t="str">
        <f t="shared" si="13"/>
        <v/>
      </c>
      <c r="V208" s="107"/>
      <c r="W208" s="108" t="str">
        <f t="shared" si="14"/>
        <v/>
      </c>
      <c r="X208" s="101" t="str">
        <f>IFERROR(_xlfn.XLOOKUP($A208,'Raw Data'!$G:$G,'Raw Data'!AI:AI),"")</f>
        <v/>
      </c>
      <c r="Y208" s="101" t="str">
        <f>IFERROR(_xlfn.XLOOKUP($A208,'Raw Data'!$G:$G,'Raw Data'!AJ:AJ),"")</f>
        <v/>
      </c>
      <c r="Z208" s="101" t="str">
        <f>IFERROR(_xlfn.XLOOKUP($A208,'Raw Data'!$G:$G,'Raw Data'!AK:AK),"")</f>
        <v/>
      </c>
      <c r="AA208" s="101" t="str">
        <f>IFERROR(_xlfn.XLOOKUP($A208,'Raw Data'!$G:$G,'Raw Data'!$AL:$AL)*(1+(_xlfn.XLOOKUP(Table13[[#This Row],[Month Year]],JMR!$A:$A,JMR!$J:$J))),"")</f>
        <v/>
      </c>
      <c r="AB208" s="101" t="str">
        <f>IFERROR(_xlfn.XLOOKUP($A208,'Raw Data'!$G:$G,'Raw Data'!H:H),"")</f>
        <v/>
      </c>
      <c r="AC208" s="67">
        <f>IFERROR(_xlfn.XLOOKUP($D208,'Modelling New'!$D:$D,'Modelling New'!P:P),"")</f>
        <v>5.1225806451612907</v>
      </c>
      <c r="AD208" s="101">
        <f>IFERROR(_xlfn.XLOOKUP($D208,'Modelling New'!$D:$D,'Modelling New'!$T:$T)*1000,"")</f>
        <v>29797.679316907321</v>
      </c>
      <c r="AE208" s="109">
        <f>IFERROR(_xlfn.XLOOKUP($D208,'Modelling New'!$D:$D,'Modelling New'!O:O),"")</f>
        <v>0.72522127474099773</v>
      </c>
      <c r="AF208" s="108">
        <f>IFERROR(_xlfn.XLOOKUP($D208,'Modelling New'!$D:$D,'Modelling New'!W:W),"")</f>
        <v>0.1547918527269764</v>
      </c>
      <c r="AG208" s="108">
        <f>IFERROR(_xlfn.XLOOKUP($D208,'Modelling New'!$D:$D,'Modelling New'!AE:AE),"")</f>
        <v>0.98040000000000005</v>
      </c>
      <c r="AH208" s="128">
        <f>IFERROR(_xlfn.XLOOKUP($D208,'Modelling New'!$D:$D,'Modelling New'!AF:AF),"")</f>
        <v>0.98</v>
      </c>
      <c r="AN208" s="105"/>
      <c r="AO208" s="108"/>
      <c r="AP208" s="108"/>
      <c r="AQ208" s="108"/>
      <c r="AR208" s="101">
        <f>'Basic Data'!$B$98/1000</f>
        <v>8.0208999999999993</v>
      </c>
      <c r="AT208" s="7" t="str">
        <f>IFERROR(_xlfn.XLOOKUP(Table13[[#This Row],[Date]],'Raw Data'!$G:$G,'Raw Data'!$AN:$AN),"")</f>
        <v/>
      </c>
      <c r="AU208" s="7">
        <f>IFERROR(_xlfn.XLOOKUP(Table13[[#This Row],[Month Year]],'Modelling New'!$D:$D,'Modelling New'!$AO:$AO),"")</f>
        <v>8</v>
      </c>
      <c r="AV208" s="7">
        <f>SUMIF('Curtailment Records'!$C:$C,Table13[[#This Row],[Date]],'Curtailment Records'!$R:$R)/1000</f>
        <v>0</v>
      </c>
    </row>
    <row r="209" spans="1:48" x14ac:dyDescent="0.3">
      <c r="A209" s="100">
        <f t="shared" si="15"/>
        <v>45952</v>
      </c>
      <c r="B209" s="101">
        <f>YEAR(Table13[[#This Row],[Date]])+IF(MONTH(Table13[[#This Row],[Date]])&gt;=4,1,0)</f>
        <v>2026</v>
      </c>
      <c r="C209" s="7">
        <f>YEAR(Table13[[#This Row],[Date]])</f>
        <v>2025</v>
      </c>
      <c r="D209" s="102">
        <f>Table13[[#This Row],[Date]]-DAY(Table13[[#This Row],[Date]])+1</f>
        <v>45931</v>
      </c>
      <c r="E209" s="7">
        <f t="shared" si="12"/>
        <v>31</v>
      </c>
      <c r="F209" s="103" t="str">
        <f>IFERROR(_xlfn.XLOOKUP($A209,'Raw Data'!$G:$G,'Raw Data'!$AM:$AM),"")</f>
        <v/>
      </c>
      <c r="G209" s="104" t="str">
        <f>IFERROR(_xlfn.XLOOKUP($A209,'Raw Data'!$G:$G,'Raw Data'!$AB:$AB),"")</f>
        <v/>
      </c>
      <c r="H209" s="104"/>
      <c r="I209" s="104" t="str">
        <f>IFERROR(_xlfn.XLOOKUP($A209,'Raw Data'!$G:$G,'Raw Data'!$AC:$AC),"")</f>
        <v/>
      </c>
      <c r="J209" s="104"/>
      <c r="K209" s="104" t="str">
        <f>IFERROR(_xlfn.XLOOKUP($A209,'Raw Data'!$G:$G,'Raw Data'!AD:AD),"")</f>
        <v/>
      </c>
      <c r="L209" s="104" t="str">
        <f>IFERROR(_xlfn.XLOOKUP($A209,'Raw Data'!$G:$G,'Raw Data'!AE:AE),"")</f>
        <v/>
      </c>
      <c r="M209" s="104" t="str">
        <f>IFERROR(_xlfn.XLOOKUP($A209,'Raw Data'!$G:$G,'Raw Data'!AF:AF),"")</f>
        <v/>
      </c>
      <c r="N209" s="104" t="str">
        <f>IFERROR(_xlfn.XLOOKUP($A209,'Raw Data'!$G:$G,'Raw Data'!AG:AG),"")</f>
        <v/>
      </c>
      <c r="O209" s="105" t="str">
        <f>IFERROR(1-SUMIF('Plant BD'!$B:$B,$A209,'Plant BD'!$AM:$AM)/($AA209+SUMIF('Plant BD'!$B:$B,$A209,'Plant BD'!$AM:$AM)),"")</f>
        <v/>
      </c>
      <c r="P209" s="105"/>
      <c r="Q209" s="106"/>
      <c r="R209" s="105" t="str">
        <f>IFERROR(1-SUMIF('Grid BD'!$B:$B,$A209,'Grid BD'!$AE:$AE)/($AA209+SUMIF('Grid BD'!$B:$B,$A209,'Grid BD'!$AE:$AE)),"")</f>
        <v/>
      </c>
      <c r="T209" s="106"/>
      <c r="U209" s="107" t="str">
        <f t="shared" si="13"/>
        <v/>
      </c>
      <c r="V209" s="107"/>
      <c r="W209" s="108" t="str">
        <f t="shared" si="14"/>
        <v/>
      </c>
      <c r="X209" s="101" t="str">
        <f>IFERROR(_xlfn.XLOOKUP($A209,'Raw Data'!$G:$G,'Raw Data'!AI:AI),"")</f>
        <v/>
      </c>
      <c r="Y209" s="101" t="str">
        <f>IFERROR(_xlfn.XLOOKUP($A209,'Raw Data'!$G:$G,'Raw Data'!AJ:AJ),"")</f>
        <v/>
      </c>
      <c r="Z209" s="101" t="str">
        <f>IFERROR(_xlfn.XLOOKUP($A209,'Raw Data'!$G:$G,'Raw Data'!AK:AK),"")</f>
        <v/>
      </c>
      <c r="AA209" s="101" t="str">
        <f>IFERROR(_xlfn.XLOOKUP($A209,'Raw Data'!$G:$G,'Raw Data'!$AL:$AL)*(1+(_xlfn.XLOOKUP(Table13[[#This Row],[Month Year]],JMR!$A:$A,JMR!$J:$J))),"")</f>
        <v/>
      </c>
      <c r="AB209" s="101" t="str">
        <f>IFERROR(_xlfn.XLOOKUP($A209,'Raw Data'!$G:$G,'Raw Data'!H:H),"")</f>
        <v/>
      </c>
      <c r="AC209" s="67">
        <f>IFERROR(_xlfn.XLOOKUP($D209,'Modelling New'!$D:$D,'Modelling New'!P:P),"")</f>
        <v>5.1225806451612907</v>
      </c>
      <c r="AD209" s="101">
        <f>IFERROR(_xlfn.XLOOKUP($D209,'Modelling New'!$D:$D,'Modelling New'!$T:$T)*1000,"")</f>
        <v>29797.679316907321</v>
      </c>
      <c r="AE209" s="109">
        <f>IFERROR(_xlfn.XLOOKUP($D209,'Modelling New'!$D:$D,'Modelling New'!O:O),"")</f>
        <v>0.72522127474099773</v>
      </c>
      <c r="AF209" s="108">
        <f>IFERROR(_xlfn.XLOOKUP($D209,'Modelling New'!$D:$D,'Modelling New'!W:W),"")</f>
        <v>0.1547918527269764</v>
      </c>
      <c r="AG209" s="108">
        <f>IFERROR(_xlfn.XLOOKUP($D209,'Modelling New'!$D:$D,'Modelling New'!AE:AE),"")</f>
        <v>0.98040000000000005</v>
      </c>
      <c r="AH209" s="128">
        <f>IFERROR(_xlfn.XLOOKUP($D209,'Modelling New'!$D:$D,'Modelling New'!AF:AF),"")</f>
        <v>0.98</v>
      </c>
      <c r="AN209" s="105"/>
      <c r="AO209" s="108"/>
      <c r="AP209" s="108"/>
      <c r="AQ209" s="108"/>
      <c r="AR209" s="101">
        <f>'Basic Data'!$B$98/1000</f>
        <v>8.0208999999999993</v>
      </c>
      <c r="AT209" s="7" t="str">
        <f>IFERROR(_xlfn.XLOOKUP(Table13[[#This Row],[Date]],'Raw Data'!$G:$G,'Raw Data'!$AN:$AN),"")</f>
        <v/>
      </c>
      <c r="AU209" s="7">
        <f>IFERROR(_xlfn.XLOOKUP(Table13[[#This Row],[Month Year]],'Modelling New'!$D:$D,'Modelling New'!$AO:$AO),"")</f>
        <v>8</v>
      </c>
      <c r="AV209" s="7">
        <f>SUMIF('Curtailment Records'!$C:$C,Table13[[#This Row],[Date]],'Curtailment Records'!$R:$R)/1000</f>
        <v>0</v>
      </c>
    </row>
    <row r="210" spans="1:48" x14ac:dyDescent="0.3">
      <c r="A210" s="100">
        <f t="shared" si="15"/>
        <v>45953</v>
      </c>
      <c r="B210" s="101">
        <f>YEAR(Table13[[#This Row],[Date]])+IF(MONTH(Table13[[#This Row],[Date]])&gt;=4,1,0)</f>
        <v>2026</v>
      </c>
      <c r="C210" s="7">
        <f>YEAR(Table13[[#This Row],[Date]])</f>
        <v>2025</v>
      </c>
      <c r="D210" s="102">
        <f>Table13[[#This Row],[Date]]-DAY(Table13[[#This Row],[Date]])+1</f>
        <v>45931</v>
      </c>
      <c r="E210" s="7">
        <f t="shared" si="12"/>
        <v>31</v>
      </c>
      <c r="F210" s="103" t="str">
        <f>IFERROR(_xlfn.XLOOKUP($A210,'Raw Data'!$G:$G,'Raw Data'!$AM:$AM),"")</f>
        <v/>
      </c>
      <c r="G210" s="104" t="str">
        <f>IFERROR(_xlfn.XLOOKUP($A210,'Raw Data'!$G:$G,'Raw Data'!$AB:$AB),"")</f>
        <v/>
      </c>
      <c r="H210" s="104"/>
      <c r="I210" s="104" t="str">
        <f>IFERROR(_xlfn.XLOOKUP($A210,'Raw Data'!$G:$G,'Raw Data'!$AC:$AC),"")</f>
        <v/>
      </c>
      <c r="J210" s="104"/>
      <c r="K210" s="104" t="str">
        <f>IFERROR(_xlfn.XLOOKUP($A210,'Raw Data'!$G:$G,'Raw Data'!AD:AD),"")</f>
        <v/>
      </c>
      <c r="L210" s="104" t="str">
        <f>IFERROR(_xlfn.XLOOKUP($A210,'Raw Data'!$G:$G,'Raw Data'!AE:AE),"")</f>
        <v/>
      </c>
      <c r="M210" s="104" t="str">
        <f>IFERROR(_xlfn.XLOOKUP($A210,'Raw Data'!$G:$G,'Raw Data'!AF:AF),"")</f>
        <v/>
      </c>
      <c r="N210" s="104" t="str">
        <f>IFERROR(_xlfn.XLOOKUP($A210,'Raw Data'!$G:$G,'Raw Data'!AG:AG),"")</f>
        <v/>
      </c>
      <c r="O210" s="105" t="str">
        <f>IFERROR(1-SUMIF('Plant BD'!$B:$B,$A210,'Plant BD'!$AM:$AM)/($AA210+SUMIF('Plant BD'!$B:$B,$A210,'Plant BD'!$AM:$AM)),"")</f>
        <v/>
      </c>
      <c r="P210" s="105"/>
      <c r="Q210" s="106"/>
      <c r="R210" s="105" t="str">
        <f>IFERROR(1-SUMIF('Grid BD'!$B:$B,$A210,'Grid BD'!$AE:$AE)/($AA210+SUMIF('Grid BD'!$B:$B,$A210,'Grid BD'!$AE:$AE)),"")</f>
        <v/>
      </c>
      <c r="T210" s="106"/>
      <c r="U210" s="107" t="str">
        <f t="shared" si="13"/>
        <v/>
      </c>
      <c r="V210" s="107"/>
      <c r="W210" s="108" t="str">
        <f t="shared" si="14"/>
        <v/>
      </c>
      <c r="X210" s="101" t="str">
        <f>IFERROR(_xlfn.XLOOKUP($A210,'Raw Data'!$G:$G,'Raw Data'!AI:AI),"")</f>
        <v/>
      </c>
      <c r="Y210" s="101" t="str">
        <f>IFERROR(_xlfn.XLOOKUP($A210,'Raw Data'!$G:$G,'Raw Data'!AJ:AJ),"")</f>
        <v/>
      </c>
      <c r="Z210" s="101" t="str">
        <f>IFERROR(_xlfn.XLOOKUP($A210,'Raw Data'!$G:$G,'Raw Data'!AK:AK),"")</f>
        <v/>
      </c>
      <c r="AA210" s="101" t="str">
        <f>IFERROR(_xlfn.XLOOKUP($A210,'Raw Data'!$G:$G,'Raw Data'!$AL:$AL)*(1+(_xlfn.XLOOKUP(Table13[[#This Row],[Month Year]],JMR!$A:$A,JMR!$J:$J))),"")</f>
        <v/>
      </c>
      <c r="AB210" s="101" t="str">
        <f>IFERROR(_xlfn.XLOOKUP($A210,'Raw Data'!$G:$G,'Raw Data'!H:H),"")</f>
        <v/>
      </c>
      <c r="AC210" s="67">
        <f>IFERROR(_xlfn.XLOOKUP($D210,'Modelling New'!$D:$D,'Modelling New'!P:P),"")</f>
        <v>5.1225806451612907</v>
      </c>
      <c r="AD210" s="101">
        <f>IFERROR(_xlfn.XLOOKUP($D210,'Modelling New'!$D:$D,'Modelling New'!$T:$T)*1000,"")</f>
        <v>29797.679316907321</v>
      </c>
      <c r="AE210" s="109">
        <f>IFERROR(_xlfn.XLOOKUP($D210,'Modelling New'!$D:$D,'Modelling New'!O:O),"")</f>
        <v>0.72522127474099773</v>
      </c>
      <c r="AF210" s="108">
        <f>IFERROR(_xlfn.XLOOKUP($D210,'Modelling New'!$D:$D,'Modelling New'!W:W),"")</f>
        <v>0.1547918527269764</v>
      </c>
      <c r="AG210" s="108">
        <f>IFERROR(_xlfn.XLOOKUP($D210,'Modelling New'!$D:$D,'Modelling New'!AE:AE),"")</f>
        <v>0.98040000000000005</v>
      </c>
      <c r="AH210" s="128">
        <f>IFERROR(_xlfn.XLOOKUP($D210,'Modelling New'!$D:$D,'Modelling New'!AF:AF),"")</f>
        <v>0.98</v>
      </c>
      <c r="AN210" s="105"/>
      <c r="AO210" s="108"/>
      <c r="AP210" s="108"/>
      <c r="AQ210" s="108"/>
      <c r="AR210" s="101">
        <f>'Basic Data'!$B$98/1000</f>
        <v>8.0208999999999993</v>
      </c>
      <c r="AT210" s="7" t="str">
        <f>IFERROR(_xlfn.XLOOKUP(Table13[[#This Row],[Date]],'Raw Data'!$G:$G,'Raw Data'!$AN:$AN),"")</f>
        <v/>
      </c>
      <c r="AU210" s="7">
        <f>IFERROR(_xlfn.XLOOKUP(Table13[[#This Row],[Month Year]],'Modelling New'!$D:$D,'Modelling New'!$AO:$AO),"")</f>
        <v>8</v>
      </c>
      <c r="AV210" s="7">
        <f>SUMIF('Curtailment Records'!$C:$C,Table13[[#This Row],[Date]],'Curtailment Records'!$R:$R)/1000</f>
        <v>0</v>
      </c>
    </row>
    <row r="211" spans="1:48" x14ac:dyDescent="0.3">
      <c r="A211" s="100">
        <f t="shared" si="15"/>
        <v>45954</v>
      </c>
      <c r="B211" s="101">
        <f>YEAR(Table13[[#This Row],[Date]])+IF(MONTH(Table13[[#This Row],[Date]])&gt;=4,1,0)</f>
        <v>2026</v>
      </c>
      <c r="C211" s="7">
        <f>YEAR(Table13[[#This Row],[Date]])</f>
        <v>2025</v>
      </c>
      <c r="D211" s="102">
        <f>Table13[[#This Row],[Date]]-DAY(Table13[[#This Row],[Date]])+1</f>
        <v>45931</v>
      </c>
      <c r="E211" s="7">
        <f t="shared" si="12"/>
        <v>31</v>
      </c>
      <c r="F211" s="103" t="str">
        <f>IFERROR(_xlfn.XLOOKUP($A211,'Raw Data'!$G:$G,'Raw Data'!$AM:$AM),"")</f>
        <v/>
      </c>
      <c r="G211" s="104" t="str">
        <f>IFERROR(_xlfn.XLOOKUP($A211,'Raw Data'!$G:$G,'Raw Data'!$AB:$AB),"")</f>
        <v/>
      </c>
      <c r="H211" s="104"/>
      <c r="I211" s="104" t="str">
        <f>IFERROR(_xlfn.XLOOKUP($A211,'Raw Data'!$G:$G,'Raw Data'!$AC:$AC),"")</f>
        <v/>
      </c>
      <c r="J211" s="104"/>
      <c r="K211" s="104" t="str">
        <f>IFERROR(_xlfn.XLOOKUP($A211,'Raw Data'!$G:$G,'Raw Data'!AD:AD),"")</f>
        <v/>
      </c>
      <c r="L211" s="104" t="str">
        <f>IFERROR(_xlfn.XLOOKUP($A211,'Raw Data'!$G:$G,'Raw Data'!AE:AE),"")</f>
        <v/>
      </c>
      <c r="M211" s="104" t="str">
        <f>IFERROR(_xlfn.XLOOKUP($A211,'Raw Data'!$G:$G,'Raw Data'!AF:AF),"")</f>
        <v/>
      </c>
      <c r="N211" s="104" t="str">
        <f>IFERROR(_xlfn.XLOOKUP($A211,'Raw Data'!$G:$G,'Raw Data'!AG:AG),"")</f>
        <v/>
      </c>
      <c r="O211" s="105" t="str">
        <f>IFERROR(1-SUMIF('Plant BD'!$B:$B,$A211,'Plant BD'!$AM:$AM)/($AA211+SUMIF('Plant BD'!$B:$B,$A211,'Plant BD'!$AM:$AM)),"")</f>
        <v/>
      </c>
      <c r="P211" s="105"/>
      <c r="Q211" s="106"/>
      <c r="R211" s="105" t="str">
        <f>IFERROR(1-SUMIF('Grid BD'!$B:$B,$A211,'Grid BD'!$AE:$AE)/($AA211+SUMIF('Grid BD'!$B:$B,$A211,'Grid BD'!$AE:$AE)),"")</f>
        <v/>
      </c>
      <c r="T211" s="106"/>
      <c r="U211" s="107" t="str">
        <f t="shared" si="13"/>
        <v/>
      </c>
      <c r="V211" s="107"/>
      <c r="W211" s="108" t="str">
        <f t="shared" si="14"/>
        <v/>
      </c>
      <c r="X211" s="101" t="str">
        <f>IFERROR(_xlfn.XLOOKUP($A211,'Raw Data'!$G:$G,'Raw Data'!AI:AI),"")</f>
        <v/>
      </c>
      <c r="Y211" s="101" t="str">
        <f>IFERROR(_xlfn.XLOOKUP($A211,'Raw Data'!$G:$G,'Raw Data'!AJ:AJ),"")</f>
        <v/>
      </c>
      <c r="Z211" s="101" t="str">
        <f>IFERROR(_xlfn.XLOOKUP($A211,'Raw Data'!$G:$G,'Raw Data'!AK:AK),"")</f>
        <v/>
      </c>
      <c r="AA211" s="101" t="str">
        <f>IFERROR(_xlfn.XLOOKUP($A211,'Raw Data'!$G:$G,'Raw Data'!$AL:$AL)*(1+(_xlfn.XLOOKUP(Table13[[#This Row],[Month Year]],JMR!$A:$A,JMR!$J:$J))),"")</f>
        <v/>
      </c>
      <c r="AB211" s="101" t="str">
        <f>IFERROR(_xlfn.XLOOKUP($A211,'Raw Data'!$G:$G,'Raw Data'!H:H),"")</f>
        <v/>
      </c>
      <c r="AC211" s="67">
        <f>IFERROR(_xlfn.XLOOKUP($D211,'Modelling New'!$D:$D,'Modelling New'!P:P),"")</f>
        <v>5.1225806451612907</v>
      </c>
      <c r="AD211" s="101">
        <f>IFERROR(_xlfn.XLOOKUP($D211,'Modelling New'!$D:$D,'Modelling New'!$T:$T)*1000,"")</f>
        <v>29797.679316907321</v>
      </c>
      <c r="AE211" s="109">
        <f>IFERROR(_xlfn.XLOOKUP($D211,'Modelling New'!$D:$D,'Modelling New'!O:O),"")</f>
        <v>0.72522127474099773</v>
      </c>
      <c r="AF211" s="108">
        <f>IFERROR(_xlfn.XLOOKUP($D211,'Modelling New'!$D:$D,'Modelling New'!W:W),"")</f>
        <v>0.1547918527269764</v>
      </c>
      <c r="AG211" s="108">
        <f>IFERROR(_xlfn.XLOOKUP($D211,'Modelling New'!$D:$D,'Modelling New'!AE:AE),"")</f>
        <v>0.98040000000000005</v>
      </c>
      <c r="AH211" s="128">
        <f>IFERROR(_xlfn.XLOOKUP($D211,'Modelling New'!$D:$D,'Modelling New'!AF:AF),"")</f>
        <v>0.98</v>
      </c>
      <c r="AN211" s="105"/>
      <c r="AO211" s="108"/>
      <c r="AP211" s="108"/>
      <c r="AQ211" s="108"/>
      <c r="AR211" s="101">
        <f>'Basic Data'!$B$98/1000</f>
        <v>8.0208999999999993</v>
      </c>
      <c r="AT211" s="7" t="str">
        <f>IFERROR(_xlfn.XLOOKUP(Table13[[#This Row],[Date]],'Raw Data'!$G:$G,'Raw Data'!$AN:$AN),"")</f>
        <v/>
      </c>
      <c r="AU211" s="7">
        <f>IFERROR(_xlfn.XLOOKUP(Table13[[#This Row],[Month Year]],'Modelling New'!$D:$D,'Modelling New'!$AO:$AO),"")</f>
        <v>8</v>
      </c>
      <c r="AV211" s="7">
        <f>SUMIF('Curtailment Records'!$C:$C,Table13[[#This Row],[Date]],'Curtailment Records'!$R:$R)/1000</f>
        <v>0</v>
      </c>
    </row>
    <row r="212" spans="1:48" x14ac:dyDescent="0.3">
      <c r="A212" s="100">
        <f t="shared" si="15"/>
        <v>45955</v>
      </c>
      <c r="B212" s="101">
        <f>YEAR(Table13[[#This Row],[Date]])+IF(MONTH(Table13[[#This Row],[Date]])&gt;=4,1,0)</f>
        <v>2026</v>
      </c>
      <c r="C212" s="7">
        <f>YEAR(Table13[[#This Row],[Date]])</f>
        <v>2025</v>
      </c>
      <c r="D212" s="102">
        <f>Table13[[#This Row],[Date]]-DAY(Table13[[#This Row],[Date]])+1</f>
        <v>45931</v>
      </c>
      <c r="E212" s="7">
        <f t="shared" si="12"/>
        <v>31</v>
      </c>
      <c r="F212" s="103" t="str">
        <f>IFERROR(_xlfn.XLOOKUP($A212,'Raw Data'!$G:$G,'Raw Data'!$AM:$AM),"")</f>
        <v/>
      </c>
      <c r="G212" s="104" t="str">
        <f>IFERROR(_xlfn.XLOOKUP($A212,'Raw Data'!$G:$G,'Raw Data'!$AB:$AB),"")</f>
        <v/>
      </c>
      <c r="H212" s="104"/>
      <c r="I212" s="104" t="str">
        <f>IFERROR(_xlfn.XLOOKUP($A212,'Raw Data'!$G:$G,'Raw Data'!$AC:$AC),"")</f>
        <v/>
      </c>
      <c r="J212" s="104"/>
      <c r="K212" s="104" t="str">
        <f>IFERROR(_xlfn.XLOOKUP($A212,'Raw Data'!$G:$G,'Raw Data'!AD:AD),"")</f>
        <v/>
      </c>
      <c r="L212" s="104" t="str">
        <f>IFERROR(_xlfn.XLOOKUP($A212,'Raw Data'!$G:$G,'Raw Data'!AE:AE),"")</f>
        <v/>
      </c>
      <c r="M212" s="104" t="str">
        <f>IFERROR(_xlfn.XLOOKUP($A212,'Raw Data'!$G:$G,'Raw Data'!AF:AF),"")</f>
        <v/>
      </c>
      <c r="N212" s="104" t="str">
        <f>IFERROR(_xlfn.XLOOKUP($A212,'Raw Data'!$G:$G,'Raw Data'!AG:AG),"")</f>
        <v/>
      </c>
      <c r="O212" s="105" t="str">
        <f>IFERROR(1-SUMIF('Plant BD'!$B:$B,$A212,'Plant BD'!$AM:$AM)/($AA212+SUMIF('Plant BD'!$B:$B,$A212,'Plant BD'!$AM:$AM)),"")</f>
        <v/>
      </c>
      <c r="P212" s="105"/>
      <c r="Q212" s="106"/>
      <c r="R212" s="105" t="str">
        <f>IFERROR(1-SUMIF('Grid BD'!$B:$B,$A212,'Grid BD'!$AE:$AE)/($AA212+SUMIF('Grid BD'!$B:$B,$A212,'Grid BD'!$AE:$AE)),"")</f>
        <v/>
      </c>
      <c r="T212" s="106"/>
      <c r="U212" s="107" t="str">
        <f t="shared" si="13"/>
        <v/>
      </c>
      <c r="V212" s="107"/>
      <c r="W212" s="108" t="str">
        <f t="shared" si="14"/>
        <v/>
      </c>
      <c r="X212" s="101" t="str">
        <f>IFERROR(_xlfn.XLOOKUP($A212,'Raw Data'!$G:$G,'Raw Data'!AI:AI),"")</f>
        <v/>
      </c>
      <c r="Y212" s="101" t="str">
        <f>IFERROR(_xlfn.XLOOKUP($A212,'Raw Data'!$G:$G,'Raw Data'!AJ:AJ),"")</f>
        <v/>
      </c>
      <c r="Z212" s="101" t="str">
        <f>IFERROR(_xlfn.XLOOKUP($A212,'Raw Data'!$G:$G,'Raw Data'!AK:AK),"")</f>
        <v/>
      </c>
      <c r="AA212" s="101" t="str">
        <f>IFERROR(_xlfn.XLOOKUP($A212,'Raw Data'!$G:$G,'Raw Data'!$AL:$AL)*(1+(_xlfn.XLOOKUP(Table13[[#This Row],[Month Year]],JMR!$A:$A,JMR!$J:$J))),"")</f>
        <v/>
      </c>
      <c r="AB212" s="101" t="str">
        <f>IFERROR(_xlfn.XLOOKUP($A212,'Raw Data'!$G:$G,'Raw Data'!H:H),"")</f>
        <v/>
      </c>
      <c r="AC212" s="67">
        <f>IFERROR(_xlfn.XLOOKUP($D212,'Modelling New'!$D:$D,'Modelling New'!P:P),"")</f>
        <v>5.1225806451612907</v>
      </c>
      <c r="AD212" s="101">
        <f>IFERROR(_xlfn.XLOOKUP($D212,'Modelling New'!$D:$D,'Modelling New'!$T:$T)*1000,"")</f>
        <v>29797.679316907321</v>
      </c>
      <c r="AE212" s="109">
        <f>IFERROR(_xlfn.XLOOKUP($D212,'Modelling New'!$D:$D,'Modelling New'!O:O),"")</f>
        <v>0.72522127474099773</v>
      </c>
      <c r="AF212" s="108">
        <f>IFERROR(_xlfn.XLOOKUP($D212,'Modelling New'!$D:$D,'Modelling New'!W:W),"")</f>
        <v>0.1547918527269764</v>
      </c>
      <c r="AG212" s="108">
        <f>IFERROR(_xlfn.XLOOKUP($D212,'Modelling New'!$D:$D,'Modelling New'!AE:AE),"")</f>
        <v>0.98040000000000005</v>
      </c>
      <c r="AH212" s="128">
        <f>IFERROR(_xlfn.XLOOKUP($D212,'Modelling New'!$D:$D,'Modelling New'!AF:AF),"")</f>
        <v>0.98</v>
      </c>
      <c r="AN212" s="105"/>
      <c r="AO212" s="108"/>
      <c r="AP212" s="108"/>
      <c r="AQ212" s="108"/>
      <c r="AR212" s="101">
        <f>'Basic Data'!$B$98/1000</f>
        <v>8.0208999999999993</v>
      </c>
      <c r="AT212" s="7" t="str">
        <f>IFERROR(_xlfn.XLOOKUP(Table13[[#This Row],[Date]],'Raw Data'!$G:$G,'Raw Data'!$AN:$AN),"")</f>
        <v/>
      </c>
      <c r="AU212" s="7">
        <f>IFERROR(_xlfn.XLOOKUP(Table13[[#This Row],[Month Year]],'Modelling New'!$D:$D,'Modelling New'!$AO:$AO),"")</f>
        <v>8</v>
      </c>
      <c r="AV212" s="7">
        <f>SUMIF('Curtailment Records'!$C:$C,Table13[[#This Row],[Date]],'Curtailment Records'!$R:$R)/1000</f>
        <v>0</v>
      </c>
    </row>
    <row r="213" spans="1:48" x14ac:dyDescent="0.3">
      <c r="A213" s="100">
        <f t="shared" si="15"/>
        <v>45956</v>
      </c>
      <c r="B213" s="101">
        <f>YEAR(Table13[[#This Row],[Date]])+IF(MONTH(Table13[[#This Row],[Date]])&gt;=4,1,0)</f>
        <v>2026</v>
      </c>
      <c r="C213" s="7">
        <f>YEAR(Table13[[#This Row],[Date]])</f>
        <v>2025</v>
      </c>
      <c r="D213" s="102">
        <f>Table13[[#This Row],[Date]]-DAY(Table13[[#This Row],[Date]])+1</f>
        <v>45931</v>
      </c>
      <c r="E213" s="7">
        <f t="shared" si="12"/>
        <v>31</v>
      </c>
      <c r="F213" s="103" t="str">
        <f>IFERROR(_xlfn.XLOOKUP($A213,'Raw Data'!$G:$G,'Raw Data'!$AM:$AM),"")</f>
        <v/>
      </c>
      <c r="G213" s="104" t="str">
        <f>IFERROR(_xlfn.XLOOKUP($A213,'Raw Data'!$G:$G,'Raw Data'!$AB:$AB),"")</f>
        <v/>
      </c>
      <c r="H213" s="104"/>
      <c r="I213" s="104" t="str">
        <f>IFERROR(_xlfn.XLOOKUP($A213,'Raw Data'!$G:$G,'Raw Data'!$AC:$AC),"")</f>
        <v/>
      </c>
      <c r="J213" s="104"/>
      <c r="K213" s="104" t="str">
        <f>IFERROR(_xlfn.XLOOKUP($A213,'Raw Data'!$G:$G,'Raw Data'!AD:AD),"")</f>
        <v/>
      </c>
      <c r="L213" s="104" t="str">
        <f>IFERROR(_xlfn.XLOOKUP($A213,'Raw Data'!$G:$G,'Raw Data'!AE:AE),"")</f>
        <v/>
      </c>
      <c r="M213" s="104" t="str">
        <f>IFERROR(_xlfn.XLOOKUP($A213,'Raw Data'!$G:$G,'Raw Data'!AF:AF),"")</f>
        <v/>
      </c>
      <c r="N213" s="104" t="str">
        <f>IFERROR(_xlfn.XLOOKUP($A213,'Raw Data'!$G:$G,'Raw Data'!AG:AG),"")</f>
        <v/>
      </c>
      <c r="O213" s="105" t="str">
        <f>IFERROR(1-SUMIF('Plant BD'!$B:$B,$A213,'Plant BD'!$AM:$AM)/($AA213+SUMIF('Plant BD'!$B:$B,$A213,'Plant BD'!$AM:$AM)),"")</f>
        <v/>
      </c>
      <c r="P213" s="105"/>
      <c r="Q213" s="106"/>
      <c r="R213" s="105" t="str">
        <f>IFERROR(1-SUMIF('Grid BD'!$B:$B,$A213,'Grid BD'!$AE:$AE)/($AA213+SUMIF('Grid BD'!$B:$B,$A213,'Grid BD'!$AE:$AE)),"")</f>
        <v/>
      </c>
      <c r="T213" s="106"/>
      <c r="U213" s="107" t="str">
        <f t="shared" si="13"/>
        <v/>
      </c>
      <c r="V213" s="107"/>
      <c r="W213" s="108" t="str">
        <f t="shared" si="14"/>
        <v/>
      </c>
      <c r="X213" s="101" t="str">
        <f>IFERROR(_xlfn.XLOOKUP($A213,'Raw Data'!$G:$G,'Raw Data'!AI:AI),"")</f>
        <v/>
      </c>
      <c r="Y213" s="101" t="str">
        <f>IFERROR(_xlfn.XLOOKUP($A213,'Raw Data'!$G:$G,'Raw Data'!AJ:AJ),"")</f>
        <v/>
      </c>
      <c r="Z213" s="101" t="str">
        <f>IFERROR(_xlfn.XLOOKUP($A213,'Raw Data'!$G:$G,'Raw Data'!AK:AK),"")</f>
        <v/>
      </c>
      <c r="AA213" s="101" t="str">
        <f>IFERROR(_xlfn.XLOOKUP($A213,'Raw Data'!$G:$G,'Raw Data'!$AL:$AL)*(1+(_xlfn.XLOOKUP(Table13[[#This Row],[Month Year]],JMR!$A:$A,JMR!$J:$J))),"")</f>
        <v/>
      </c>
      <c r="AB213" s="101" t="str">
        <f>IFERROR(_xlfn.XLOOKUP($A213,'Raw Data'!$G:$G,'Raw Data'!H:H),"")</f>
        <v/>
      </c>
      <c r="AC213" s="67">
        <f>IFERROR(_xlfn.XLOOKUP($D213,'Modelling New'!$D:$D,'Modelling New'!P:P),"")</f>
        <v>5.1225806451612907</v>
      </c>
      <c r="AD213" s="101">
        <f>IFERROR(_xlfn.XLOOKUP($D213,'Modelling New'!$D:$D,'Modelling New'!$T:$T)*1000,"")</f>
        <v>29797.679316907321</v>
      </c>
      <c r="AE213" s="109">
        <f>IFERROR(_xlfn.XLOOKUP($D213,'Modelling New'!$D:$D,'Modelling New'!O:O),"")</f>
        <v>0.72522127474099773</v>
      </c>
      <c r="AF213" s="108">
        <f>IFERROR(_xlfn.XLOOKUP($D213,'Modelling New'!$D:$D,'Modelling New'!W:W),"")</f>
        <v>0.1547918527269764</v>
      </c>
      <c r="AG213" s="108">
        <f>IFERROR(_xlfn.XLOOKUP($D213,'Modelling New'!$D:$D,'Modelling New'!AE:AE),"")</f>
        <v>0.98040000000000005</v>
      </c>
      <c r="AH213" s="128">
        <f>IFERROR(_xlfn.XLOOKUP($D213,'Modelling New'!$D:$D,'Modelling New'!AF:AF),"")</f>
        <v>0.98</v>
      </c>
      <c r="AN213" s="105"/>
      <c r="AO213" s="108"/>
      <c r="AP213" s="108"/>
      <c r="AQ213" s="108"/>
      <c r="AR213" s="101">
        <f>'Basic Data'!$B$98/1000</f>
        <v>8.0208999999999993</v>
      </c>
      <c r="AT213" s="7" t="str">
        <f>IFERROR(_xlfn.XLOOKUP(Table13[[#This Row],[Date]],'Raw Data'!$G:$G,'Raw Data'!$AN:$AN),"")</f>
        <v/>
      </c>
      <c r="AU213" s="7">
        <f>IFERROR(_xlfn.XLOOKUP(Table13[[#This Row],[Month Year]],'Modelling New'!$D:$D,'Modelling New'!$AO:$AO),"")</f>
        <v>8</v>
      </c>
      <c r="AV213" s="7">
        <f>SUMIF('Curtailment Records'!$C:$C,Table13[[#This Row],[Date]],'Curtailment Records'!$R:$R)/1000</f>
        <v>0</v>
      </c>
    </row>
    <row r="214" spans="1:48" x14ac:dyDescent="0.3">
      <c r="A214" s="100">
        <f t="shared" si="15"/>
        <v>45957</v>
      </c>
      <c r="B214" s="101">
        <f>YEAR(Table13[[#This Row],[Date]])+IF(MONTH(Table13[[#This Row],[Date]])&gt;=4,1,0)</f>
        <v>2026</v>
      </c>
      <c r="C214" s="7">
        <f>YEAR(Table13[[#This Row],[Date]])</f>
        <v>2025</v>
      </c>
      <c r="D214" s="102">
        <f>Table13[[#This Row],[Date]]-DAY(Table13[[#This Row],[Date]])+1</f>
        <v>45931</v>
      </c>
      <c r="E214" s="7">
        <f t="shared" si="12"/>
        <v>31</v>
      </c>
      <c r="F214" s="103" t="str">
        <f>IFERROR(_xlfn.XLOOKUP($A214,'Raw Data'!$G:$G,'Raw Data'!$AM:$AM),"")</f>
        <v/>
      </c>
      <c r="G214" s="104" t="str">
        <f>IFERROR(_xlfn.XLOOKUP($A214,'Raw Data'!$G:$G,'Raw Data'!$AB:$AB),"")</f>
        <v/>
      </c>
      <c r="H214" s="104"/>
      <c r="I214" s="104" t="str">
        <f>IFERROR(_xlfn.XLOOKUP($A214,'Raw Data'!$G:$G,'Raw Data'!$AC:$AC),"")</f>
        <v/>
      </c>
      <c r="J214" s="104"/>
      <c r="K214" s="104" t="str">
        <f>IFERROR(_xlfn.XLOOKUP($A214,'Raw Data'!$G:$G,'Raw Data'!AD:AD),"")</f>
        <v/>
      </c>
      <c r="L214" s="104" t="str">
        <f>IFERROR(_xlfn.XLOOKUP($A214,'Raw Data'!$G:$G,'Raw Data'!AE:AE),"")</f>
        <v/>
      </c>
      <c r="M214" s="104" t="str">
        <f>IFERROR(_xlfn.XLOOKUP($A214,'Raw Data'!$G:$G,'Raw Data'!AF:AF),"")</f>
        <v/>
      </c>
      <c r="N214" s="104" t="str">
        <f>IFERROR(_xlfn.XLOOKUP($A214,'Raw Data'!$G:$G,'Raw Data'!AG:AG),"")</f>
        <v/>
      </c>
      <c r="O214" s="105" t="str">
        <f>IFERROR(1-SUMIF('Plant BD'!$B:$B,$A214,'Plant BD'!$AM:$AM)/($AA214+SUMIF('Plant BD'!$B:$B,$A214,'Plant BD'!$AM:$AM)),"")</f>
        <v/>
      </c>
      <c r="P214" s="105"/>
      <c r="Q214" s="106"/>
      <c r="R214" s="105" t="str">
        <f>IFERROR(1-SUMIF('Grid BD'!$B:$B,$A214,'Grid BD'!$AE:$AE)/($AA214+SUMIF('Grid BD'!$B:$B,$A214,'Grid BD'!$AE:$AE)),"")</f>
        <v/>
      </c>
      <c r="T214" s="106"/>
      <c r="U214" s="107" t="str">
        <f t="shared" si="13"/>
        <v/>
      </c>
      <c r="V214" s="107"/>
      <c r="W214" s="108" t="str">
        <f t="shared" si="14"/>
        <v/>
      </c>
      <c r="X214" s="101" t="str">
        <f>IFERROR(_xlfn.XLOOKUP($A214,'Raw Data'!$G:$G,'Raw Data'!AI:AI),"")</f>
        <v/>
      </c>
      <c r="Y214" s="101" t="str">
        <f>IFERROR(_xlfn.XLOOKUP($A214,'Raw Data'!$G:$G,'Raw Data'!AJ:AJ),"")</f>
        <v/>
      </c>
      <c r="Z214" s="101" t="str">
        <f>IFERROR(_xlfn.XLOOKUP($A214,'Raw Data'!$G:$G,'Raw Data'!AK:AK),"")</f>
        <v/>
      </c>
      <c r="AA214" s="101" t="str">
        <f>IFERROR(_xlfn.XLOOKUP($A214,'Raw Data'!$G:$G,'Raw Data'!$AL:$AL)*(1+(_xlfn.XLOOKUP(Table13[[#This Row],[Month Year]],JMR!$A:$A,JMR!$J:$J))),"")</f>
        <v/>
      </c>
      <c r="AB214" s="101" t="str">
        <f>IFERROR(_xlfn.XLOOKUP($A214,'Raw Data'!$G:$G,'Raw Data'!H:H),"")</f>
        <v/>
      </c>
      <c r="AC214" s="67">
        <f>IFERROR(_xlfn.XLOOKUP($D214,'Modelling New'!$D:$D,'Modelling New'!P:P),"")</f>
        <v>5.1225806451612907</v>
      </c>
      <c r="AD214" s="101">
        <f>IFERROR(_xlfn.XLOOKUP($D214,'Modelling New'!$D:$D,'Modelling New'!$T:$T)*1000,"")</f>
        <v>29797.679316907321</v>
      </c>
      <c r="AE214" s="109">
        <f>IFERROR(_xlfn.XLOOKUP($D214,'Modelling New'!$D:$D,'Modelling New'!O:O),"")</f>
        <v>0.72522127474099773</v>
      </c>
      <c r="AF214" s="108">
        <f>IFERROR(_xlfn.XLOOKUP($D214,'Modelling New'!$D:$D,'Modelling New'!W:W),"")</f>
        <v>0.1547918527269764</v>
      </c>
      <c r="AG214" s="108">
        <f>IFERROR(_xlfn.XLOOKUP($D214,'Modelling New'!$D:$D,'Modelling New'!AE:AE),"")</f>
        <v>0.98040000000000005</v>
      </c>
      <c r="AH214" s="128">
        <f>IFERROR(_xlfn.XLOOKUP($D214,'Modelling New'!$D:$D,'Modelling New'!AF:AF),"")</f>
        <v>0.98</v>
      </c>
      <c r="AN214" s="105"/>
      <c r="AO214" s="108"/>
      <c r="AP214" s="108"/>
      <c r="AQ214" s="108"/>
      <c r="AR214" s="101">
        <f>'Basic Data'!$B$98/1000</f>
        <v>8.0208999999999993</v>
      </c>
      <c r="AT214" s="7" t="str">
        <f>IFERROR(_xlfn.XLOOKUP(Table13[[#This Row],[Date]],'Raw Data'!$G:$G,'Raw Data'!$AN:$AN),"")</f>
        <v/>
      </c>
      <c r="AU214" s="7">
        <f>IFERROR(_xlfn.XLOOKUP(Table13[[#This Row],[Month Year]],'Modelling New'!$D:$D,'Modelling New'!$AO:$AO),"")</f>
        <v>8</v>
      </c>
      <c r="AV214" s="7">
        <f>SUMIF('Curtailment Records'!$C:$C,Table13[[#This Row],[Date]],'Curtailment Records'!$R:$R)/1000</f>
        <v>0</v>
      </c>
    </row>
    <row r="215" spans="1:48" x14ac:dyDescent="0.3">
      <c r="A215" s="100">
        <f t="shared" si="15"/>
        <v>45958</v>
      </c>
      <c r="B215" s="101">
        <f>YEAR(Table13[[#This Row],[Date]])+IF(MONTH(Table13[[#This Row],[Date]])&gt;=4,1,0)</f>
        <v>2026</v>
      </c>
      <c r="C215" s="7">
        <f>YEAR(Table13[[#This Row],[Date]])</f>
        <v>2025</v>
      </c>
      <c r="D215" s="102">
        <f>Table13[[#This Row],[Date]]-DAY(Table13[[#This Row],[Date]])+1</f>
        <v>45931</v>
      </c>
      <c r="E215" s="7">
        <f t="shared" si="12"/>
        <v>31</v>
      </c>
      <c r="F215" s="103" t="str">
        <f>IFERROR(_xlfn.XLOOKUP($A215,'Raw Data'!$G:$G,'Raw Data'!$AM:$AM),"")</f>
        <v/>
      </c>
      <c r="G215" s="104" t="str">
        <f>IFERROR(_xlfn.XLOOKUP($A215,'Raw Data'!$G:$G,'Raw Data'!$AB:$AB),"")</f>
        <v/>
      </c>
      <c r="H215" s="104"/>
      <c r="I215" s="104" t="str">
        <f>IFERROR(_xlfn.XLOOKUP($A215,'Raw Data'!$G:$G,'Raw Data'!$AC:$AC),"")</f>
        <v/>
      </c>
      <c r="J215" s="104"/>
      <c r="K215" s="104" t="str">
        <f>IFERROR(_xlfn.XLOOKUP($A215,'Raw Data'!$G:$G,'Raw Data'!AD:AD),"")</f>
        <v/>
      </c>
      <c r="L215" s="104" t="str">
        <f>IFERROR(_xlfn.XLOOKUP($A215,'Raw Data'!$G:$G,'Raw Data'!AE:AE),"")</f>
        <v/>
      </c>
      <c r="M215" s="104" t="str">
        <f>IFERROR(_xlfn.XLOOKUP($A215,'Raw Data'!$G:$G,'Raw Data'!AF:AF),"")</f>
        <v/>
      </c>
      <c r="N215" s="104" t="str">
        <f>IFERROR(_xlfn.XLOOKUP($A215,'Raw Data'!$G:$G,'Raw Data'!AG:AG),"")</f>
        <v/>
      </c>
      <c r="O215" s="105" t="str">
        <f>IFERROR(1-SUMIF('Plant BD'!$B:$B,$A215,'Plant BD'!$AM:$AM)/($AA215+SUMIF('Plant BD'!$B:$B,$A215,'Plant BD'!$AM:$AM)),"")</f>
        <v/>
      </c>
      <c r="P215" s="105"/>
      <c r="Q215" s="106"/>
      <c r="R215" s="105" t="str">
        <f>IFERROR(1-SUMIF('Grid BD'!$B:$B,$A215,'Grid BD'!$AE:$AE)/($AA215+SUMIF('Grid BD'!$B:$B,$A215,'Grid BD'!$AE:$AE)),"")</f>
        <v/>
      </c>
      <c r="T215" s="106"/>
      <c r="U215" s="107" t="str">
        <f t="shared" si="13"/>
        <v/>
      </c>
      <c r="V215" s="107"/>
      <c r="W215" s="108" t="str">
        <f t="shared" si="14"/>
        <v/>
      </c>
      <c r="X215" s="101" t="str">
        <f>IFERROR(_xlfn.XLOOKUP($A215,'Raw Data'!$G:$G,'Raw Data'!AI:AI),"")</f>
        <v/>
      </c>
      <c r="Y215" s="101" t="str">
        <f>IFERROR(_xlfn.XLOOKUP($A215,'Raw Data'!$G:$G,'Raw Data'!AJ:AJ),"")</f>
        <v/>
      </c>
      <c r="Z215" s="101" t="str">
        <f>IFERROR(_xlfn.XLOOKUP($A215,'Raw Data'!$G:$G,'Raw Data'!AK:AK),"")</f>
        <v/>
      </c>
      <c r="AA215" s="101" t="str">
        <f>IFERROR(_xlfn.XLOOKUP($A215,'Raw Data'!$G:$G,'Raw Data'!$AL:$AL)*(1+(_xlfn.XLOOKUP(Table13[[#This Row],[Month Year]],JMR!$A:$A,JMR!$J:$J))),"")</f>
        <v/>
      </c>
      <c r="AB215" s="101" t="str">
        <f>IFERROR(_xlfn.XLOOKUP($A215,'Raw Data'!$G:$G,'Raw Data'!H:H),"")</f>
        <v/>
      </c>
      <c r="AC215" s="67">
        <f>IFERROR(_xlfn.XLOOKUP($D215,'Modelling New'!$D:$D,'Modelling New'!P:P),"")</f>
        <v>5.1225806451612907</v>
      </c>
      <c r="AD215" s="101">
        <f>IFERROR(_xlfn.XLOOKUP($D215,'Modelling New'!$D:$D,'Modelling New'!$T:$T)*1000,"")</f>
        <v>29797.679316907321</v>
      </c>
      <c r="AE215" s="109">
        <f>IFERROR(_xlfn.XLOOKUP($D215,'Modelling New'!$D:$D,'Modelling New'!O:O),"")</f>
        <v>0.72522127474099773</v>
      </c>
      <c r="AF215" s="108">
        <f>IFERROR(_xlfn.XLOOKUP($D215,'Modelling New'!$D:$D,'Modelling New'!W:W),"")</f>
        <v>0.1547918527269764</v>
      </c>
      <c r="AG215" s="108">
        <f>IFERROR(_xlfn.XLOOKUP($D215,'Modelling New'!$D:$D,'Modelling New'!AE:AE),"")</f>
        <v>0.98040000000000005</v>
      </c>
      <c r="AH215" s="128">
        <f>IFERROR(_xlfn.XLOOKUP($D215,'Modelling New'!$D:$D,'Modelling New'!AF:AF),"")</f>
        <v>0.98</v>
      </c>
      <c r="AN215" s="105"/>
      <c r="AO215" s="108"/>
      <c r="AP215" s="108"/>
      <c r="AQ215" s="108"/>
      <c r="AR215" s="101">
        <f>'Basic Data'!$B$98/1000</f>
        <v>8.0208999999999993</v>
      </c>
      <c r="AT215" s="7" t="str">
        <f>IFERROR(_xlfn.XLOOKUP(Table13[[#This Row],[Date]],'Raw Data'!$G:$G,'Raw Data'!$AN:$AN),"")</f>
        <v/>
      </c>
      <c r="AU215" s="7">
        <f>IFERROR(_xlfn.XLOOKUP(Table13[[#This Row],[Month Year]],'Modelling New'!$D:$D,'Modelling New'!$AO:$AO),"")</f>
        <v>8</v>
      </c>
      <c r="AV215" s="7">
        <f>SUMIF('Curtailment Records'!$C:$C,Table13[[#This Row],[Date]],'Curtailment Records'!$R:$R)/1000</f>
        <v>0</v>
      </c>
    </row>
    <row r="216" spans="1:48" x14ac:dyDescent="0.3">
      <c r="A216" s="100">
        <f t="shared" si="15"/>
        <v>45959</v>
      </c>
      <c r="B216" s="101">
        <f>YEAR(Table13[[#This Row],[Date]])+IF(MONTH(Table13[[#This Row],[Date]])&gt;=4,1,0)</f>
        <v>2026</v>
      </c>
      <c r="C216" s="7">
        <f>YEAR(Table13[[#This Row],[Date]])</f>
        <v>2025</v>
      </c>
      <c r="D216" s="102">
        <f>Table13[[#This Row],[Date]]-DAY(Table13[[#This Row],[Date]])+1</f>
        <v>45931</v>
      </c>
      <c r="E216" s="7">
        <f t="shared" si="12"/>
        <v>31</v>
      </c>
      <c r="F216" s="103" t="str">
        <f>IFERROR(_xlfn.XLOOKUP($A216,'Raw Data'!$G:$G,'Raw Data'!$AM:$AM),"")</f>
        <v/>
      </c>
      <c r="G216" s="104" t="str">
        <f>IFERROR(_xlfn.XLOOKUP($A216,'Raw Data'!$G:$G,'Raw Data'!$AB:$AB),"")</f>
        <v/>
      </c>
      <c r="H216" s="104"/>
      <c r="I216" s="104" t="str">
        <f>IFERROR(_xlfn.XLOOKUP($A216,'Raw Data'!$G:$G,'Raw Data'!$AC:$AC),"")</f>
        <v/>
      </c>
      <c r="J216" s="104"/>
      <c r="K216" s="104" t="str">
        <f>IFERROR(_xlfn.XLOOKUP($A216,'Raw Data'!$G:$G,'Raw Data'!AD:AD),"")</f>
        <v/>
      </c>
      <c r="L216" s="104" t="str">
        <f>IFERROR(_xlfn.XLOOKUP($A216,'Raw Data'!$G:$G,'Raw Data'!AE:AE),"")</f>
        <v/>
      </c>
      <c r="M216" s="104" t="str">
        <f>IFERROR(_xlfn.XLOOKUP($A216,'Raw Data'!$G:$G,'Raw Data'!AF:AF),"")</f>
        <v/>
      </c>
      <c r="N216" s="104" t="str">
        <f>IFERROR(_xlfn.XLOOKUP($A216,'Raw Data'!$G:$G,'Raw Data'!AG:AG),"")</f>
        <v/>
      </c>
      <c r="O216" s="105" t="str">
        <f>IFERROR(1-SUMIF('Plant BD'!$B:$B,$A216,'Plant BD'!$AM:$AM)/($AA216+SUMIF('Plant BD'!$B:$B,$A216,'Plant BD'!$AM:$AM)),"")</f>
        <v/>
      </c>
      <c r="P216" s="105"/>
      <c r="Q216" s="106"/>
      <c r="R216" s="105" t="str">
        <f>IFERROR(1-SUMIF('Grid BD'!$B:$B,$A216,'Grid BD'!$AE:$AE)/($AA216+SUMIF('Grid BD'!$B:$B,$A216,'Grid BD'!$AE:$AE)),"")</f>
        <v/>
      </c>
      <c r="T216" s="106"/>
      <c r="U216" s="107" t="str">
        <f t="shared" si="13"/>
        <v/>
      </c>
      <c r="V216" s="107"/>
      <c r="W216" s="108" t="str">
        <f t="shared" si="14"/>
        <v/>
      </c>
      <c r="X216" s="101" t="str">
        <f>IFERROR(_xlfn.XLOOKUP($A216,'Raw Data'!$G:$G,'Raw Data'!AI:AI),"")</f>
        <v/>
      </c>
      <c r="Y216" s="101" t="str">
        <f>IFERROR(_xlfn.XLOOKUP($A216,'Raw Data'!$G:$G,'Raw Data'!AJ:AJ),"")</f>
        <v/>
      </c>
      <c r="Z216" s="101" t="str">
        <f>IFERROR(_xlfn.XLOOKUP($A216,'Raw Data'!$G:$G,'Raw Data'!AK:AK),"")</f>
        <v/>
      </c>
      <c r="AA216" s="101" t="str">
        <f>IFERROR(_xlfn.XLOOKUP($A216,'Raw Data'!$G:$G,'Raw Data'!$AL:$AL)*(1+(_xlfn.XLOOKUP(Table13[[#This Row],[Month Year]],JMR!$A:$A,JMR!$J:$J))),"")</f>
        <v/>
      </c>
      <c r="AB216" s="101" t="str">
        <f>IFERROR(_xlfn.XLOOKUP($A216,'Raw Data'!$G:$G,'Raw Data'!H:H),"")</f>
        <v/>
      </c>
      <c r="AC216" s="67">
        <f>IFERROR(_xlfn.XLOOKUP($D216,'Modelling New'!$D:$D,'Modelling New'!P:P),"")</f>
        <v>5.1225806451612907</v>
      </c>
      <c r="AD216" s="101">
        <f>IFERROR(_xlfn.XLOOKUP($D216,'Modelling New'!$D:$D,'Modelling New'!$T:$T)*1000,"")</f>
        <v>29797.679316907321</v>
      </c>
      <c r="AE216" s="109">
        <f>IFERROR(_xlfn.XLOOKUP($D216,'Modelling New'!$D:$D,'Modelling New'!O:O),"")</f>
        <v>0.72522127474099773</v>
      </c>
      <c r="AF216" s="108">
        <f>IFERROR(_xlfn.XLOOKUP($D216,'Modelling New'!$D:$D,'Modelling New'!W:W),"")</f>
        <v>0.1547918527269764</v>
      </c>
      <c r="AG216" s="108">
        <f>IFERROR(_xlfn.XLOOKUP($D216,'Modelling New'!$D:$D,'Modelling New'!AE:AE),"")</f>
        <v>0.98040000000000005</v>
      </c>
      <c r="AH216" s="128">
        <f>IFERROR(_xlfn.XLOOKUP($D216,'Modelling New'!$D:$D,'Modelling New'!AF:AF),"")</f>
        <v>0.98</v>
      </c>
      <c r="AN216" s="105"/>
      <c r="AO216" s="108"/>
      <c r="AP216" s="108"/>
      <c r="AQ216" s="108"/>
      <c r="AR216" s="101">
        <f>'Basic Data'!$B$98/1000</f>
        <v>8.0208999999999993</v>
      </c>
      <c r="AT216" s="7" t="str">
        <f>IFERROR(_xlfn.XLOOKUP(Table13[[#This Row],[Date]],'Raw Data'!$G:$G,'Raw Data'!$AN:$AN),"")</f>
        <v/>
      </c>
      <c r="AU216" s="7">
        <f>IFERROR(_xlfn.XLOOKUP(Table13[[#This Row],[Month Year]],'Modelling New'!$D:$D,'Modelling New'!$AO:$AO),"")</f>
        <v>8</v>
      </c>
      <c r="AV216" s="7">
        <f>SUMIF('Curtailment Records'!$C:$C,Table13[[#This Row],[Date]],'Curtailment Records'!$R:$R)/1000</f>
        <v>0</v>
      </c>
    </row>
    <row r="217" spans="1:48" x14ac:dyDescent="0.3">
      <c r="A217" s="100">
        <f t="shared" si="15"/>
        <v>45960</v>
      </c>
      <c r="B217" s="101">
        <f>YEAR(Table13[[#This Row],[Date]])+IF(MONTH(Table13[[#This Row],[Date]])&gt;=4,1,0)</f>
        <v>2026</v>
      </c>
      <c r="C217" s="7">
        <f>YEAR(Table13[[#This Row],[Date]])</f>
        <v>2025</v>
      </c>
      <c r="D217" s="102">
        <f>Table13[[#This Row],[Date]]-DAY(Table13[[#This Row],[Date]])+1</f>
        <v>45931</v>
      </c>
      <c r="E217" s="7">
        <f t="shared" si="12"/>
        <v>31</v>
      </c>
      <c r="F217" s="103" t="str">
        <f>IFERROR(_xlfn.XLOOKUP($A217,'Raw Data'!$G:$G,'Raw Data'!$AM:$AM),"")</f>
        <v/>
      </c>
      <c r="G217" s="104" t="str">
        <f>IFERROR(_xlfn.XLOOKUP($A217,'Raw Data'!$G:$G,'Raw Data'!$AB:$AB),"")</f>
        <v/>
      </c>
      <c r="H217" s="104"/>
      <c r="I217" s="104" t="str">
        <f>IFERROR(_xlfn.XLOOKUP($A217,'Raw Data'!$G:$G,'Raw Data'!$AC:$AC),"")</f>
        <v/>
      </c>
      <c r="J217" s="104"/>
      <c r="K217" s="104" t="str">
        <f>IFERROR(_xlfn.XLOOKUP($A217,'Raw Data'!$G:$G,'Raw Data'!AD:AD),"")</f>
        <v/>
      </c>
      <c r="L217" s="104" t="str">
        <f>IFERROR(_xlfn.XLOOKUP($A217,'Raw Data'!$G:$G,'Raw Data'!AE:AE),"")</f>
        <v/>
      </c>
      <c r="M217" s="104" t="str">
        <f>IFERROR(_xlfn.XLOOKUP($A217,'Raw Data'!$G:$G,'Raw Data'!AF:AF),"")</f>
        <v/>
      </c>
      <c r="N217" s="104" t="str">
        <f>IFERROR(_xlfn.XLOOKUP($A217,'Raw Data'!$G:$G,'Raw Data'!AG:AG),"")</f>
        <v/>
      </c>
      <c r="O217" s="105" t="str">
        <f>IFERROR(1-SUMIF('Plant BD'!$B:$B,$A217,'Plant BD'!$AM:$AM)/($AA217+SUMIF('Plant BD'!$B:$B,$A217,'Plant BD'!$AM:$AM)),"")</f>
        <v/>
      </c>
      <c r="P217" s="105"/>
      <c r="Q217" s="106"/>
      <c r="R217" s="105" t="str">
        <f>IFERROR(1-SUMIF('Grid BD'!$B:$B,$A217,'Grid BD'!$AE:$AE)/($AA217+SUMIF('Grid BD'!$B:$B,$A217,'Grid BD'!$AE:$AE)),"")</f>
        <v/>
      </c>
      <c r="T217" s="106"/>
      <c r="U217" s="107" t="str">
        <f t="shared" si="13"/>
        <v/>
      </c>
      <c r="V217" s="107"/>
      <c r="W217" s="108" t="str">
        <f t="shared" si="14"/>
        <v/>
      </c>
      <c r="X217" s="101" t="str">
        <f>IFERROR(_xlfn.XLOOKUP($A217,'Raw Data'!$G:$G,'Raw Data'!AI:AI),"")</f>
        <v/>
      </c>
      <c r="Y217" s="101" t="str">
        <f>IFERROR(_xlfn.XLOOKUP($A217,'Raw Data'!$G:$G,'Raw Data'!AJ:AJ),"")</f>
        <v/>
      </c>
      <c r="Z217" s="101" t="str">
        <f>IFERROR(_xlfn.XLOOKUP($A217,'Raw Data'!$G:$G,'Raw Data'!AK:AK),"")</f>
        <v/>
      </c>
      <c r="AA217" s="101" t="str">
        <f>IFERROR(_xlfn.XLOOKUP($A217,'Raw Data'!$G:$G,'Raw Data'!$AL:$AL)*(1+(_xlfn.XLOOKUP(Table13[[#This Row],[Month Year]],JMR!$A:$A,JMR!$J:$J))),"")</f>
        <v/>
      </c>
      <c r="AB217" s="101" t="str">
        <f>IFERROR(_xlfn.XLOOKUP($A217,'Raw Data'!$G:$G,'Raw Data'!H:H),"")</f>
        <v/>
      </c>
      <c r="AC217" s="67">
        <f>IFERROR(_xlfn.XLOOKUP($D217,'Modelling New'!$D:$D,'Modelling New'!P:P),"")</f>
        <v>5.1225806451612907</v>
      </c>
      <c r="AD217" s="101">
        <f>IFERROR(_xlfn.XLOOKUP($D217,'Modelling New'!$D:$D,'Modelling New'!$T:$T)*1000,"")</f>
        <v>29797.679316907321</v>
      </c>
      <c r="AE217" s="109">
        <f>IFERROR(_xlfn.XLOOKUP($D217,'Modelling New'!$D:$D,'Modelling New'!O:O),"")</f>
        <v>0.72522127474099773</v>
      </c>
      <c r="AF217" s="108">
        <f>IFERROR(_xlfn.XLOOKUP($D217,'Modelling New'!$D:$D,'Modelling New'!W:W),"")</f>
        <v>0.1547918527269764</v>
      </c>
      <c r="AG217" s="108">
        <f>IFERROR(_xlfn.XLOOKUP($D217,'Modelling New'!$D:$D,'Modelling New'!AE:AE),"")</f>
        <v>0.98040000000000005</v>
      </c>
      <c r="AH217" s="128">
        <f>IFERROR(_xlfn.XLOOKUP($D217,'Modelling New'!$D:$D,'Modelling New'!AF:AF),"")</f>
        <v>0.98</v>
      </c>
      <c r="AN217" s="105"/>
      <c r="AO217" s="108"/>
      <c r="AP217" s="108"/>
      <c r="AQ217" s="108"/>
      <c r="AR217" s="101">
        <f>'Basic Data'!$B$98/1000</f>
        <v>8.0208999999999993</v>
      </c>
      <c r="AT217" s="7" t="str">
        <f>IFERROR(_xlfn.XLOOKUP(Table13[[#This Row],[Date]],'Raw Data'!$G:$G,'Raw Data'!$AN:$AN),"")</f>
        <v/>
      </c>
      <c r="AU217" s="7">
        <f>IFERROR(_xlfn.XLOOKUP(Table13[[#This Row],[Month Year]],'Modelling New'!$D:$D,'Modelling New'!$AO:$AO),"")</f>
        <v>8</v>
      </c>
      <c r="AV217" s="7">
        <f>SUMIF('Curtailment Records'!$C:$C,Table13[[#This Row],[Date]],'Curtailment Records'!$R:$R)/1000</f>
        <v>0</v>
      </c>
    </row>
    <row r="218" spans="1:48" x14ac:dyDescent="0.3">
      <c r="A218" s="100">
        <f t="shared" si="15"/>
        <v>45961</v>
      </c>
      <c r="B218" s="101">
        <f>YEAR(Table13[[#This Row],[Date]])+IF(MONTH(Table13[[#This Row],[Date]])&gt;=4,1,0)</f>
        <v>2026</v>
      </c>
      <c r="C218" s="7">
        <f>YEAR(Table13[[#This Row],[Date]])</f>
        <v>2025</v>
      </c>
      <c r="D218" s="102">
        <f>Table13[[#This Row],[Date]]-DAY(Table13[[#This Row],[Date]])+1</f>
        <v>45931</v>
      </c>
      <c r="E218" s="7">
        <f t="shared" si="12"/>
        <v>31</v>
      </c>
      <c r="F218" s="103" t="str">
        <f>IFERROR(_xlfn.XLOOKUP($A218,'Raw Data'!$G:$G,'Raw Data'!$AM:$AM),"")</f>
        <v/>
      </c>
      <c r="G218" s="104" t="str">
        <f>IFERROR(_xlfn.XLOOKUP($A218,'Raw Data'!$G:$G,'Raw Data'!$AB:$AB),"")</f>
        <v/>
      </c>
      <c r="H218" s="104"/>
      <c r="I218" s="104" t="str">
        <f>IFERROR(_xlfn.XLOOKUP($A218,'Raw Data'!$G:$G,'Raw Data'!$AC:$AC),"")</f>
        <v/>
      </c>
      <c r="J218" s="104"/>
      <c r="K218" s="104" t="str">
        <f>IFERROR(_xlfn.XLOOKUP($A218,'Raw Data'!$G:$G,'Raw Data'!AD:AD),"")</f>
        <v/>
      </c>
      <c r="L218" s="104" t="str">
        <f>IFERROR(_xlfn.XLOOKUP($A218,'Raw Data'!$G:$G,'Raw Data'!AE:AE),"")</f>
        <v/>
      </c>
      <c r="M218" s="104" t="str">
        <f>IFERROR(_xlfn.XLOOKUP($A218,'Raw Data'!$G:$G,'Raw Data'!AF:AF),"")</f>
        <v/>
      </c>
      <c r="N218" s="104" t="str">
        <f>IFERROR(_xlfn.XLOOKUP($A218,'Raw Data'!$G:$G,'Raw Data'!AG:AG),"")</f>
        <v/>
      </c>
      <c r="O218" s="105" t="str">
        <f>IFERROR(1-SUMIF('Plant BD'!$B:$B,$A218,'Plant BD'!$AM:$AM)/($AA218+SUMIF('Plant BD'!$B:$B,$A218,'Plant BD'!$AM:$AM)),"")</f>
        <v/>
      </c>
      <c r="P218" s="105"/>
      <c r="Q218" s="106"/>
      <c r="R218" s="105" t="str">
        <f>IFERROR(1-SUMIF('Grid BD'!$B:$B,$A218,'Grid BD'!$AE:$AE)/($AA218+SUMIF('Grid BD'!$B:$B,$A218,'Grid BD'!$AE:$AE)),"")</f>
        <v/>
      </c>
      <c r="T218" s="106"/>
      <c r="U218" s="107" t="str">
        <f t="shared" si="13"/>
        <v/>
      </c>
      <c r="V218" s="107"/>
      <c r="W218" s="108" t="str">
        <f t="shared" si="14"/>
        <v/>
      </c>
      <c r="X218" s="101" t="str">
        <f>IFERROR(_xlfn.XLOOKUP($A218,'Raw Data'!$G:$G,'Raw Data'!AI:AI),"")</f>
        <v/>
      </c>
      <c r="Y218" s="101" t="str">
        <f>IFERROR(_xlfn.XLOOKUP($A218,'Raw Data'!$G:$G,'Raw Data'!AJ:AJ),"")</f>
        <v/>
      </c>
      <c r="Z218" s="101" t="str">
        <f>IFERROR(_xlfn.XLOOKUP($A218,'Raw Data'!$G:$G,'Raw Data'!AK:AK),"")</f>
        <v/>
      </c>
      <c r="AA218" s="101" t="str">
        <f>IFERROR(_xlfn.XLOOKUP($A218,'Raw Data'!$G:$G,'Raw Data'!$AL:$AL)*(1+(_xlfn.XLOOKUP(Table13[[#This Row],[Month Year]],JMR!$A:$A,JMR!$J:$J))),"")</f>
        <v/>
      </c>
      <c r="AB218" s="101" t="str">
        <f>IFERROR(_xlfn.XLOOKUP($A218,'Raw Data'!$G:$G,'Raw Data'!H:H),"")</f>
        <v/>
      </c>
      <c r="AC218" s="67">
        <f>IFERROR(_xlfn.XLOOKUP($D218,'Modelling New'!$D:$D,'Modelling New'!P:P),"")</f>
        <v>5.1225806451612907</v>
      </c>
      <c r="AD218" s="101">
        <f>IFERROR(_xlfn.XLOOKUP($D218,'Modelling New'!$D:$D,'Modelling New'!$T:$T)*1000,"")</f>
        <v>29797.679316907321</v>
      </c>
      <c r="AE218" s="109">
        <f>IFERROR(_xlfn.XLOOKUP($D218,'Modelling New'!$D:$D,'Modelling New'!O:O),"")</f>
        <v>0.72522127474099773</v>
      </c>
      <c r="AF218" s="108">
        <f>IFERROR(_xlfn.XLOOKUP($D218,'Modelling New'!$D:$D,'Modelling New'!W:W),"")</f>
        <v>0.1547918527269764</v>
      </c>
      <c r="AG218" s="108">
        <f>IFERROR(_xlfn.XLOOKUP($D218,'Modelling New'!$D:$D,'Modelling New'!AE:AE),"")</f>
        <v>0.98040000000000005</v>
      </c>
      <c r="AH218" s="128">
        <f>IFERROR(_xlfn.XLOOKUP($D218,'Modelling New'!$D:$D,'Modelling New'!AF:AF),"")</f>
        <v>0.98</v>
      </c>
      <c r="AN218" s="105"/>
      <c r="AO218" s="108"/>
      <c r="AP218" s="108"/>
      <c r="AQ218" s="108"/>
      <c r="AR218" s="101">
        <f>'Basic Data'!$B$98/1000</f>
        <v>8.0208999999999993</v>
      </c>
      <c r="AT218" s="7" t="str">
        <f>IFERROR(_xlfn.XLOOKUP(Table13[[#This Row],[Date]],'Raw Data'!$G:$G,'Raw Data'!$AN:$AN),"")</f>
        <v/>
      </c>
      <c r="AU218" s="7">
        <f>IFERROR(_xlfn.XLOOKUP(Table13[[#This Row],[Month Year]],'Modelling New'!$D:$D,'Modelling New'!$AO:$AO),"")</f>
        <v>8</v>
      </c>
      <c r="AV218" s="7">
        <f>SUMIF('Curtailment Records'!$C:$C,Table13[[#This Row],[Date]],'Curtailment Records'!$R:$R)/1000</f>
        <v>0</v>
      </c>
    </row>
    <row r="219" spans="1:48" x14ac:dyDescent="0.3">
      <c r="A219" s="100">
        <f t="shared" si="15"/>
        <v>45962</v>
      </c>
      <c r="B219" s="101">
        <f>YEAR(Table13[[#This Row],[Date]])+IF(MONTH(Table13[[#This Row],[Date]])&gt;=4,1,0)</f>
        <v>2026</v>
      </c>
      <c r="C219" s="7">
        <f>YEAR(Table13[[#This Row],[Date]])</f>
        <v>2025</v>
      </c>
      <c r="D219" s="102">
        <f>Table13[[#This Row],[Date]]-DAY(Table13[[#This Row],[Date]])+1</f>
        <v>45962</v>
      </c>
      <c r="E219" s="7">
        <f t="shared" si="12"/>
        <v>30</v>
      </c>
      <c r="F219" s="103" t="str">
        <f>IFERROR(_xlfn.XLOOKUP($A219,'Raw Data'!$G:$G,'Raw Data'!$AM:$AM),"")</f>
        <v/>
      </c>
      <c r="G219" s="104" t="str">
        <f>IFERROR(_xlfn.XLOOKUP($A219,'Raw Data'!$G:$G,'Raw Data'!$AB:$AB),"")</f>
        <v/>
      </c>
      <c r="H219" s="104"/>
      <c r="I219" s="104" t="str">
        <f>IFERROR(_xlfn.XLOOKUP($A219,'Raw Data'!$G:$G,'Raw Data'!$AC:$AC),"")</f>
        <v/>
      </c>
      <c r="J219" s="104"/>
      <c r="K219" s="104" t="str">
        <f>IFERROR(_xlfn.XLOOKUP($A219,'Raw Data'!$G:$G,'Raw Data'!AD:AD),"")</f>
        <v/>
      </c>
      <c r="L219" s="104" t="str">
        <f>IFERROR(_xlfn.XLOOKUP($A219,'Raw Data'!$G:$G,'Raw Data'!AE:AE),"")</f>
        <v/>
      </c>
      <c r="M219" s="104" t="str">
        <f>IFERROR(_xlfn.XLOOKUP($A219,'Raw Data'!$G:$G,'Raw Data'!AF:AF),"")</f>
        <v/>
      </c>
      <c r="N219" s="104" t="str">
        <f>IFERROR(_xlfn.XLOOKUP($A219,'Raw Data'!$G:$G,'Raw Data'!AG:AG),"")</f>
        <v/>
      </c>
      <c r="O219" s="105" t="str">
        <f>IFERROR(1-SUMIF('Plant BD'!$B:$B,$A219,'Plant BD'!$AM:$AM)/($AA219+SUMIF('Plant BD'!$B:$B,$A219,'Plant BD'!$AM:$AM)),"")</f>
        <v/>
      </c>
      <c r="P219" s="105"/>
      <c r="Q219" s="106"/>
      <c r="R219" s="105" t="str">
        <f>IFERROR(1-SUMIF('Grid BD'!$B:$B,$A219,'Grid BD'!$AE:$AE)/($AA219+SUMIF('Grid BD'!$B:$B,$A219,'Grid BD'!$AE:$AE)),"")</f>
        <v/>
      </c>
      <c r="T219" s="106"/>
      <c r="U219" s="107" t="str">
        <f t="shared" si="13"/>
        <v/>
      </c>
      <c r="V219" s="107"/>
      <c r="W219" s="108" t="str">
        <f t="shared" si="14"/>
        <v/>
      </c>
      <c r="X219" s="101" t="str">
        <f>IFERROR(_xlfn.XLOOKUP($A219,'Raw Data'!$G:$G,'Raw Data'!AI:AI),"")</f>
        <v/>
      </c>
      <c r="Y219" s="101" t="str">
        <f>IFERROR(_xlfn.XLOOKUP($A219,'Raw Data'!$G:$G,'Raw Data'!AJ:AJ),"")</f>
        <v/>
      </c>
      <c r="Z219" s="101" t="str">
        <f>IFERROR(_xlfn.XLOOKUP($A219,'Raw Data'!$G:$G,'Raw Data'!AK:AK),"")</f>
        <v/>
      </c>
      <c r="AA219" s="101" t="str">
        <f>IFERROR(_xlfn.XLOOKUP($A219,'Raw Data'!$G:$G,'Raw Data'!$AL:$AL)*(1+(_xlfn.XLOOKUP(Table13[[#This Row],[Month Year]],JMR!$A:$A,JMR!$J:$J))),"")</f>
        <v/>
      </c>
      <c r="AB219" s="101" t="str">
        <f>IFERROR(_xlfn.XLOOKUP($A219,'Raw Data'!$G:$G,'Raw Data'!H:H),"")</f>
        <v/>
      </c>
      <c r="AC219" s="67">
        <f>IFERROR(_xlfn.XLOOKUP($D219,'Modelling New'!$D:$D,'Modelling New'!P:P),"")</f>
        <v>5.4333333333333336</v>
      </c>
      <c r="AD219" s="101">
        <f>IFERROR(_xlfn.XLOOKUP($D219,'Modelling New'!$D:$D,'Modelling New'!$T:$T)*1000,"")</f>
        <v>30935.368854830132</v>
      </c>
      <c r="AE219" s="109">
        <f>IFERROR(_xlfn.XLOOKUP($D219,'Modelling New'!$D:$D,'Modelling New'!O:O),"")</f>
        <v>0.70984879123298372</v>
      </c>
      <c r="AF219" s="108">
        <f>IFERROR(_xlfn.XLOOKUP($D219,'Modelling New'!$D:$D,'Modelling New'!W:W),"")</f>
        <v>0.160701879126356</v>
      </c>
      <c r="AG219" s="108">
        <f>IFERROR(_xlfn.XLOOKUP($D219,'Modelling New'!$D:$D,'Modelling New'!AE:AE),"")</f>
        <v>0.98040000000000005</v>
      </c>
      <c r="AH219" s="128">
        <f>IFERROR(_xlfn.XLOOKUP($D219,'Modelling New'!$D:$D,'Modelling New'!AF:AF),"")</f>
        <v>0.98</v>
      </c>
      <c r="AN219" s="105"/>
      <c r="AO219" s="108"/>
      <c r="AP219" s="108"/>
      <c r="AQ219" s="108"/>
      <c r="AR219" s="101">
        <f>'Basic Data'!$B$98/1000</f>
        <v>8.0208999999999993</v>
      </c>
      <c r="AT219" s="7" t="str">
        <f>IFERROR(_xlfn.XLOOKUP(Table13[[#This Row],[Date]],'Raw Data'!$G:$G,'Raw Data'!$AN:$AN),"")</f>
        <v/>
      </c>
      <c r="AU219" s="7">
        <f>IFERROR(_xlfn.XLOOKUP(Table13[[#This Row],[Month Year]],'Modelling New'!$D:$D,'Modelling New'!$AO:$AO),"")</f>
        <v>8</v>
      </c>
      <c r="AV219" s="7">
        <f>SUMIF('Curtailment Records'!$C:$C,Table13[[#This Row],[Date]],'Curtailment Records'!$R:$R)/1000</f>
        <v>0</v>
      </c>
    </row>
    <row r="220" spans="1:48" x14ac:dyDescent="0.3">
      <c r="A220" s="100">
        <f t="shared" si="15"/>
        <v>45963</v>
      </c>
      <c r="B220" s="101">
        <f>YEAR(Table13[[#This Row],[Date]])+IF(MONTH(Table13[[#This Row],[Date]])&gt;=4,1,0)</f>
        <v>2026</v>
      </c>
      <c r="C220" s="7">
        <f>YEAR(Table13[[#This Row],[Date]])</f>
        <v>2025</v>
      </c>
      <c r="D220" s="102">
        <f>Table13[[#This Row],[Date]]-DAY(Table13[[#This Row],[Date]])+1</f>
        <v>45962</v>
      </c>
      <c r="E220" s="7">
        <f t="shared" si="12"/>
        <v>30</v>
      </c>
      <c r="F220" s="103" t="str">
        <f>IFERROR(_xlfn.XLOOKUP($A220,'Raw Data'!$G:$G,'Raw Data'!$AM:$AM),"")</f>
        <v/>
      </c>
      <c r="G220" s="104" t="str">
        <f>IFERROR(_xlfn.XLOOKUP($A220,'Raw Data'!$G:$G,'Raw Data'!$AB:$AB),"")</f>
        <v/>
      </c>
      <c r="H220" s="104"/>
      <c r="I220" s="104" t="str">
        <f>IFERROR(_xlfn.XLOOKUP($A220,'Raw Data'!$G:$G,'Raw Data'!$AC:$AC),"")</f>
        <v/>
      </c>
      <c r="J220" s="104"/>
      <c r="K220" s="104" t="str">
        <f>IFERROR(_xlfn.XLOOKUP($A220,'Raw Data'!$G:$G,'Raw Data'!AD:AD),"")</f>
        <v/>
      </c>
      <c r="L220" s="104" t="str">
        <f>IFERROR(_xlfn.XLOOKUP($A220,'Raw Data'!$G:$G,'Raw Data'!AE:AE),"")</f>
        <v/>
      </c>
      <c r="M220" s="104" t="str">
        <f>IFERROR(_xlfn.XLOOKUP($A220,'Raw Data'!$G:$G,'Raw Data'!AF:AF),"")</f>
        <v/>
      </c>
      <c r="N220" s="104" t="str">
        <f>IFERROR(_xlfn.XLOOKUP($A220,'Raw Data'!$G:$G,'Raw Data'!AG:AG),"")</f>
        <v/>
      </c>
      <c r="O220" s="105" t="str">
        <f>IFERROR(1-SUMIF('Plant BD'!$B:$B,$A220,'Plant BD'!$AM:$AM)/($AA220+SUMIF('Plant BD'!$B:$B,$A220,'Plant BD'!$AM:$AM)),"")</f>
        <v/>
      </c>
      <c r="P220" s="105"/>
      <c r="Q220" s="106"/>
      <c r="R220" s="105" t="str">
        <f>IFERROR(1-SUMIF('Grid BD'!$B:$B,$A220,'Grid BD'!$AE:$AE)/($AA220+SUMIF('Grid BD'!$B:$B,$A220,'Grid BD'!$AE:$AE)),"")</f>
        <v/>
      </c>
      <c r="T220" s="106"/>
      <c r="U220" s="107" t="str">
        <f t="shared" si="13"/>
        <v/>
      </c>
      <c r="V220" s="107"/>
      <c r="W220" s="108" t="str">
        <f t="shared" si="14"/>
        <v/>
      </c>
      <c r="X220" s="101" t="str">
        <f>IFERROR(_xlfn.XLOOKUP($A220,'Raw Data'!$G:$G,'Raw Data'!AI:AI),"")</f>
        <v/>
      </c>
      <c r="Y220" s="101" t="str">
        <f>IFERROR(_xlfn.XLOOKUP($A220,'Raw Data'!$G:$G,'Raw Data'!AJ:AJ),"")</f>
        <v/>
      </c>
      <c r="Z220" s="101" t="str">
        <f>IFERROR(_xlfn.XLOOKUP($A220,'Raw Data'!$G:$G,'Raw Data'!AK:AK),"")</f>
        <v/>
      </c>
      <c r="AA220" s="101" t="str">
        <f>IFERROR(_xlfn.XLOOKUP($A220,'Raw Data'!$G:$G,'Raw Data'!$AL:$AL)*(1+(_xlfn.XLOOKUP(Table13[[#This Row],[Month Year]],JMR!$A:$A,JMR!$J:$J))),"")</f>
        <v/>
      </c>
      <c r="AB220" s="101" t="str">
        <f>IFERROR(_xlfn.XLOOKUP($A220,'Raw Data'!$G:$G,'Raw Data'!H:H),"")</f>
        <v/>
      </c>
      <c r="AC220" s="67">
        <f>IFERROR(_xlfn.XLOOKUP($D220,'Modelling New'!$D:$D,'Modelling New'!P:P),"")</f>
        <v>5.4333333333333336</v>
      </c>
      <c r="AD220" s="101">
        <f>IFERROR(_xlfn.XLOOKUP($D220,'Modelling New'!$D:$D,'Modelling New'!$T:$T)*1000,"")</f>
        <v>30935.368854830132</v>
      </c>
      <c r="AE220" s="109">
        <f>IFERROR(_xlfn.XLOOKUP($D220,'Modelling New'!$D:$D,'Modelling New'!O:O),"")</f>
        <v>0.70984879123298372</v>
      </c>
      <c r="AF220" s="108">
        <f>IFERROR(_xlfn.XLOOKUP($D220,'Modelling New'!$D:$D,'Modelling New'!W:W),"")</f>
        <v>0.160701879126356</v>
      </c>
      <c r="AG220" s="108">
        <f>IFERROR(_xlfn.XLOOKUP($D220,'Modelling New'!$D:$D,'Modelling New'!AE:AE),"")</f>
        <v>0.98040000000000005</v>
      </c>
      <c r="AH220" s="128">
        <f>IFERROR(_xlfn.XLOOKUP($D220,'Modelling New'!$D:$D,'Modelling New'!AF:AF),"")</f>
        <v>0.98</v>
      </c>
      <c r="AN220" s="105"/>
      <c r="AO220" s="108"/>
      <c r="AP220" s="108"/>
      <c r="AQ220" s="108"/>
      <c r="AR220" s="101">
        <f>'Basic Data'!$B$98/1000</f>
        <v>8.0208999999999993</v>
      </c>
      <c r="AT220" s="7" t="str">
        <f>IFERROR(_xlfn.XLOOKUP(Table13[[#This Row],[Date]],'Raw Data'!$G:$G,'Raw Data'!$AN:$AN),"")</f>
        <v/>
      </c>
      <c r="AU220" s="7">
        <f>IFERROR(_xlfn.XLOOKUP(Table13[[#This Row],[Month Year]],'Modelling New'!$D:$D,'Modelling New'!$AO:$AO),"")</f>
        <v>8</v>
      </c>
      <c r="AV220" s="7">
        <f>SUMIF('Curtailment Records'!$C:$C,Table13[[#This Row],[Date]],'Curtailment Records'!$R:$R)/1000</f>
        <v>0</v>
      </c>
    </row>
    <row r="221" spans="1:48" x14ac:dyDescent="0.3">
      <c r="A221" s="100">
        <f t="shared" si="15"/>
        <v>45964</v>
      </c>
      <c r="B221" s="101">
        <f>YEAR(Table13[[#This Row],[Date]])+IF(MONTH(Table13[[#This Row],[Date]])&gt;=4,1,0)</f>
        <v>2026</v>
      </c>
      <c r="C221" s="7">
        <f>YEAR(Table13[[#This Row],[Date]])</f>
        <v>2025</v>
      </c>
      <c r="D221" s="102">
        <f>Table13[[#This Row],[Date]]-DAY(Table13[[#This Row],[Date]])+1</f>
        <v>45962</v>
      </c>
      <c r="E221" s="7">
        <f t="shared" si="12"/>
        <v>30</v>
      </c>
      <c r="F221" s="103" t="str">
        <f>IFERROR(_xlfn.XLOOKUP($A221,'Raw Data'!$G:$G,'Raw Data'!$AM:$AM),"")</f>
        <v/>
      </c>
      <c r="G221" s="104" t="str">
        <f>IFERROR(_xlfn.XLOOKUP($A221,'Raw Data'!$G:$G,'Raw Data'!$AB:$AB),"")</f>
        <v/>
      </c>
      <c r="H221" s="104"/>
      <c r="I221" s="104" t="str">
        <f>IFERROR(_xlfn.XLOOKUP($A221,'Raw Data'!$G:$G,'Raw Data'!$AC:$AC),"")</f>
        <v/>
      </c>
      <c r="J221" s="104"/>
      <c r="K221" s="104" t="str">
        <f>IFERROR(_xlfn.XLOOKUP($A221,'Raw Data'!$G:$G,'Raw Data'!AD:AD),"")</f>
        <v/>
      </c>
      <c r="L221" s="104" t="str">
        <f>IFERROR(_xlfn.XLOOKUP($A221,'Raw Data'!$G:$G,'Raw Data'!AE:AE),"")</f>
        <v/>
      </c>
      <c r="M221" s="104" t="str">
        <f>IFERROR(_xlfn.XLOOKUP($A221,'Raw Data'!$G:$G,'Raw Data'!AF:AF),"")</f>
        <v/>
      </c>
      <c r="N221" s="104" t="str">
        <f>IFERROR(_xlfn.XLOOKUP($A221,'Raw Data'!$G:$G,'Raw Data'!AG:AG),"")</f>
        <v/>
      </c>
      <c r="O221" s="105" t="str">
        <f>IFERROR(1-SUMIF('Plant BD'!$B:$B,$A221,'Plant BD'!$AM:$AM)/($AA221+SUMIF('Plant BD'!$B:$B,$A221,'Plant BD'!$AM:$AM)),"")</f>
        <v/>
      </c>
      <c r="P221" s="105"/>
      <c r="Q221" s="106"/>
      <c r="R221" s="105" t="str">
        <f>IFERROR(1-SUMIF('Grid BD'!$B:$B,$A221,'Grid BD'!$AE:$AE)/($AA221+SUMIF('Grid BD'!$B:$B,$A221,'Grid BD'!$AE:$AE)),"")</f>
        <v/>
      </c>
      <c r="T221" s="106"/>
      <c r="U221" s="107" t="str">
        <f t="shared" si="13"/>
        <v/>
      </c>
      <c r="V221" s="107"/>
      <c r="W221" s="108" t="str">
        <f t="shared" si="14"/>
        <v/>
      </c>
      <c r="X221" s="101" t="str">
        <f>IFERROR(_xlfn.XLOOKUP($A221,'Raw Data'!$G:$G,'Raw Data'!AI:AI),"")</f>
        <v/>
      </c>
      <c r="Y221" s="101" t="str">
        <f>IFERROR(_xlfn.XLOOKUP($A221,'Raw Data'!$G:$G,'Raw Data'!AJ:AJ),"")</f>
        <v/>
      </c>
      <c r="Z221" s="101" t="str">
        <f>IFERROR(_xlfn.XLOOKUP($A221,'Raw Data'!$G:$G,'Raw Data'!AK:AK),"")</f>
        <v/>
      </c>
      <c r="AA221" s="101" t="str">
        <f>IFERROR(_xlfn.XLOOKUP($A221,'Raw Data'!$G:$G,'Raw Data'!$AL:$AL)*(1+(_xlfn.XLOOKUP(Table13[[#This Row],[Month Year]],JMR!$A:$A,JMR!$J:$J))),"")</f>
        <v/>
      </c>
      <c r="AB221" s="101" t="str">
        <f>IFERROR(_xlfn.XLOOKUP($A221,'Raw Data'!$G:$G,'Raw Data'!H:H),"")</f>
        <v/>
      </c>
      <c r="AC221" s="67">
        <f>IFERROR(_xlfn.XLOOKUP($D221,'Modelling New'!$D:$D,'Modelling New'!P:P),"")</f>
        <v>5.4333333333333336</v>
      </c>
      <c r="AD221" s="101">
        <f>IFERROR(_xlfn.XLOOKUP($D221,'Modelling New'!$D:$D,'Modelling New'!$T:$T)*1000,"")</f>
        <v>30935.368854830132</v>
      </c>
      <c r="AE221" s="109">
        <f>IFERROR(_xlfn.XLOOKUP($D221,'Modelling New'!$D:$D,'Modelling New'!O:O),"")</f>
        <v>0.70984879123298372</v>
      </c>
      <c r="AF221" s="108">
        <f>IFERROR(_xlfn.XLOOKUP($D221,'Modelling New'!$D:$D,'Modelling New'!W:W),"")</f>
        <v>0.160701879126356</v>
      </c>
      <c r="AG221" s="108">
        <f>IFERROR(_xlfn.XLOOKUP($D221,'Modelling New'!$D:$D,'Modelling New'!AE:AE),"")</f>
        <v>0.98040000000000005</v>
      </c>
      <c r="AH221" s="128">
        <f>IFERROR(_xlfn.XLOOKUP($D221,'Modelling New'!$D:$D,'Modelling New'!AF:AF),"")</f>
        <v>0.98</v>
      </c>
      <c r="AN221" s="105"/>
      <c r="AO221" s="108"/>
      <c r="AP221" s="108"/>
      <c r="AQ221" s="108"/>
      <c r="AR221" s="101">
        <f>'Basic Data'!$B$98/1000</f>
        <v>8.0208999999999993</v>
      </c>
      <c r="AT221" s="7" t="str">
        <f>IFERROR(_xlfn.XLOOKUP(Table13[[#This Row],[Date]],'Raw Data'!$G:$G,'Raw Data'!$AN:$AN),"")</f>
        <v/>
      </c>
      <c r="AU221" s="7">
        <f>IFERROR(_xlfn.XLOOKUP(Table13[[#This Row],[Month Year]],'Modelling New'!$D:$D,'Modelling New'!$AO:$AO),"")</f>
        <v>8</v>
      </c>
      <c r="AV221" s="7">
        <f>SUMIF('Curtailment Records'!$C:$C,Table13[[#This Row],[Date]],'Curtailment Records'!$R:$R)/1000</f>
        <v>0</v>
      </c>
    </row>
    <row r="222" spans="1:48" x14ac:dyDescent="0.3">
      <c r="A222" s="100">
        <f t="shared" si="15"/>
        <v>45965</v>
      </c>
      <c r="B222" s="101">
        <f>YEAR(Table13[[#This Row],[Date]])+IF(MONTH(Table13[[#This Row],[Date]])&gt;=4,1,0)</f>
        <v>2026</v>
      </c>
      <c r="C222" s="7">
        <f>YEAR(Table13[[#This Row],[Date]])</f>
        <v>2025</v>
      </c>
      <c r="D222" s="102">
        <f>Table13[[#This Row],[Date]]-DAY(Table13[[#This Row],[Date]])+1</f>
        <v>45962</v>
      </c>
      <c r="E222" s="7">
        <f t="shared" si="12"/>
        <v>30</v>
      </c>
      <c r="F222" s="103" t="str">
        <f>IFERROR(_xlfn.XLOOKUP($A222,'Raw Data'!$G:$G,'Raw Data'!$AM:$AM),"")</f>
        <v/>
      </c>
      <c r="G222" s="104" t="str">
        <f>IFERROR(_xlfn.XLOOKUP($A222,'Raw Data'!$G:$G,'Raw Data'!$AB:$AB),"")</f>
        <v/>
      </c>
      <c r="H222" s="104"/>
      <c r="I222" s="104" t="str">
        <f>IFERROR(_xlfn.XLOOKUP($A222,'Raw Data'!$G:$G,'Raw Data'!$AC:$AC),"")</f>
        <v/>
      </c>
      <c r="J222" s="104"/>
      <c r="K222" s="104" t="str">
        <f>IFERROR(_xlfn.XLOOKUP($A222,'Raw Data'!$G:$G,'Raw Data'!AD:AD),"")</f>
        <v/>
      </c>
      <c r="L222" s="104" t="str">
        <f>IFERROR(_xlfn.XLOOKUP($A222,'Raw Data'!$G:$G,'Raw Data'!AE:AE),"")</f>
        <v/>
      </c>
      <c r="M222" s="104" t="str">
        <f>IFERROR(_xlfn.XLOOKUP($A222,'Raw Data'!$G:$G,'Raw Data'!AF:AF),"")</f>
        <v/>
      </c>
      <c r="N222" s="104" t="str">
        <f>IFERROR(_xlfn.XLOOKUP($A222,'Raw Data'!$G:$G,'Raw Data'!AG:AG),"")</f>
        <v/>
      </c>
      <c r="O222" s="105" t="str">
        <f>IFERROR(1-SUMIF('Plant BD'!$B:$B,$A222,'Plant BD'!$AM:$AM)/($AA222+SUMIF('Plant BD'!$B:$B,$A222,'Plant BD'!$AM:$AM)),"")</f>
        <v/>
      </c>
      <c r="P222" s="105"/>
      <c r="Q222" s="106"/>
      <c r="R222" s="105" t="str">
        <f>IFERROR(1-SUMIF('Grid BD'!$B:$B,$A222,'Grid BD'!$AE:$AE)/($AA222+SUMIF('Grid BD'!$B:$B,$A222,'Grid BD'!$AE:$AE)),"")</f>
        <v/>
      </c>
      <c r="T222" s="106"/>
      <c r="U222" s="107" t="str">
        <f t="shared" si="13"/>
        <v/>
      </c>
      <c r="V222" s="107"/>
      <c r="W222" s="108" t="str">
        <f t="shared" si="14"/>
        <v/>
      </c>
      <c r="X222" s="101" t="str">
        <f>IFERROR(_xlfn.XLOOKUP($A222,'Raw Data'!$G:$G,'Raw Data'!AI:AI),"")</f>
        <v/>
      </c>
      <c r="Y222" s="101" t="str">
        <f>IFERROR(_xlfn.XLOOKUP($A222,'Raw Data'!$G:$G,'Raw Data'!AJ:AJ),"")</f>
        <v/>
      </c>
      <c r="Z222" s="101" t="str">
        <f>IFERROR(_xlfn.XLOOKUP($A222,'Raw Data'!$G:$G,'Raw Data'!AK:AK),"")</f>
        <v/>
      </c>
      <c r="AA222" s="101" t="str">
        <f>IFERROR(_xlfn.XLOOKUP($A222,'Raw Data'!$G:$G,'Raw Data'!$AL:$AL)*(1+(_xlfn.XLOOKUP(Table13[[#This Row],[Month Year]],JMR!$A:$A,JMR!$J:$J))),"")</f>
        <v/>
      </c>
      <c r="AB222" s="101" t="str">
        <f>IFERROR(_xlfn.XLOOKUP($A222,'Raw Data'!$G:$G,'Raw Data'!H:H),"")</f>
        <v/>
      </c>
      <c r="AC222" s="67">
        <f>IFERROR(_xlfn.XLOOKUP($D222,'Modelling New'!$D:$D,'Modelling New'!P:P),"")</f>
        <v>5.4333333333333336</v>
      </c>
      <c r="AD222" s="101">
        <f>IFERROR(_xlfn.XLOOKUP($D222,'Modelling New'!$D:$D,'Modelling New'!$T:$T)*1000,"")</f>
        <v>30935.368854830132</v>
      </c>
      <c r="AE222" s="109">
        <f>IFERROR(_xlfn.XLOOKUP($D222,'Modelling New'!$D:$D,'Modelling New'!O:O),"")</f>
        <v>0.70984879123298372</v>
      </c>
      <c r="AF222" s="108">
        <f>IFERROR(_xlfn.XLOOKUP($D222,'Modelling New'!$D:$D,'Modelling New'!W:W),"")</f>
        <v>0.160701879126356</v>
      </c>
      <c r="AG222" s="108">
        <f>IFERROR(_xlfn.XLOOKUP($D222,'Modelling New'!$D:$D,'Modelling New'!AE:AE),"")</f>
        <v>0.98040000000000005</v>
      </c>
      <c r="AH222" s="128">
        <f>IFERROR(_xlfn.XLOOKUP($D222,'Modelling New'!$D:$D,'Modelling New'!AF:AF),"")</f>
        <v>0.98</v>
      </c>
      <c r="AN222" s="105"/>
      <c r="AO222" s="108"/>
      <c r="AP222" s="108"/>
      <c r="AQ222" s="108"/>
      <c r="AR222" s="101">
        <f>'Basic Data'!$B$98/1000</f>
        <v>8.0208999999999993</v>
      </c>
      <c r="AT222" s="7" t="str">
        <f>IFERROR(_xlfn.XLOOKUP(Table13[[#This Row],[Date]],'Raw Data'!$G:$G,'Raw Data'!$AN:$AN),"")</f>
        <v/>
      </c>
      <c r="AU222" s="7">
        <f>IFERROR(_xlfn.XLOOKUP(Table13[[#This Row],[Month Year]],'Modelling New'!$D:$D,'Modelling New'!$AO:$AO),"")</f>
        <v>8</v>
      </c>
      <c r="AV222" s="7">
        <f>SUMIF('Curtailment Records'!$C:$C,Table13[[#This Row],[Date]],'Curtailment Records'!$R:$R)/1000</f>
        <v>0</v>
      </c>
    </row>
    <row r="223" spans="1:48" x14ac:dyDescent="0.3">
      <c r="A223" s="100">
        <f t="shared" si="15"/>
        <v>45966</v>
      </c>
      <c r="B223" s="101">
        <f>YEAR(Table13[[#This Row],[Date]])+IF(MONTH(Table13[[#This Row],[Date]])&gt;=4,1,0)</f>
        <v>2026</v>
      </c>
      <c r="C223" s="7">
        <f>YEAR(Table13[[#This Row],[Date]])</f>
        <v>2025</v>
      </c>
      <c r="D223" s="102">
        <f>Table13[[#This Row],[Date]]-DAY(Table13[[#This Row],[Date]])+1</f>
        <v>45962</v>
      </c>
      <c r="E223" s="7">
        <f t="shared" si="12"/>
        <v>30</v>
      </c>
      <c r="F223" s="103" t="str">
        <f>IFERROR(_xlfn.XLOOKUP($A223,'Raw Data'!$G:$G,'Raw Data'!$AM:$AM),"")</f>
        <v/>
      </c>
      <c r="G223" s="104" t="str">
        <f>IFERROR(_xlfn.XLOOKUP($A223,'Raw Data'!$G:$G,'Raw Data'!$AB:$AB),"")</f>
        <v/>
      </c>
      <c r="H223" s="104"/>
      <c r="I223" s="104" t="str">
        <f>IFERROR(_xlfn.XLOOKUP($A223,'Raw Data'!$G:$G,'Raw Data'!$AC:$AC),"")</f>
        <v/>
      </c>
      <c r="J223" s="104"/>
      <c r="K223" s="104" t="str">
        <f>IFERROR(_xlfn.XLOOKUP($A223,'Raw Data'!$G:$G,'Raw Data'!AD:AD),"")</f>
        <v/>
      </c>
      <c r="L223" s="104" t="str">
        <f>IFERROR(_xlfn.XLOOKUP($A223,'Raw Data'!$G:$G,'Raw Data'!AE:AE),"")</f>
        <v/>
      </c>
      <c r="M223" s="104" t="str">
        <f>IFERROR(_xlfn.XLOOKUP($A223,'Raw Data'!$G:$G,'Raw Data'!AF:AF),"")</f>
        <v/>
      </c>
      <c r="N223" s="104" t="str">
        <f>IFERROR(_xlfn.XLOOKUP($A223,'Raw Data'!$G:$G,'Raw Data'!AG:AG),"")</f>
        <v/>
      </c>
      <c r="O223" s="105" t="str">
        <f>IFERROR(1-SUMIF('Plant BD'!$B:$B,$A223,'Plant BD'!$AM:$AM)/($AA223+SUMIF('Plant BD'!$B:$B,$A223,'Plant BD'!$AM:$AM)),"")</f>
        <v/>
      </c>
      <c r="P223" s="105"/>
      <c r="Q223" s="106"/>
      <c r="R223" s="105" t="str">
        <f>IFERROR(1-SUMIF('Grid BD'!$B:$B,$A223,'Grid BD'!$AE:$AE)/($AA223+SUMIF('Grid BD'!$B:$B,$A223,'Grid BD'!$AE:$AE)),"")</f>
        <v/>
      </c>
      <c r="T223" s="106"/>
      <c r="U223" s="107" t="str">
        <f t="shared" si="13"/>
        <v/>
      </c>
      <c r="V223" s="107"/>
      <c r="W223" s="108" t="str">
        <f t="shared" si="14"/>
        <v/>
      </c>
      <c r="X223" s="101" t="str">
        <f>IFERROR(_xlfn.XLOOKUP($A223,'Raw Data'!$G:$G,'Raw Data'!AI:AI),"")</f>
        <v/>
      </c>
      <c r="Y223" s="101" t="str">
        <f>IFERROR(_xlfn.XLOOKUP($A223,'Raw Data'!$G:$G,'Raw Data'!AJ:AJ),"")</f>
        <v/>
      </c>
      <c r="Z223" s="101" t="str">
        <f>IFERROR(_xlfn.XLOOKUP($A223,'Raw Data'!$G:$G,'Raw Data'!AK:AK),"")</f>
        <v/>
      </c>
      <c r="AA223" s="101" t="str">
        <f>IFERROR(_xlfn.XLOOKUP($A223,'Raw Data'!$G:$G,'Raw Data'!$AL:$AL)*(1+(_xlfn.XLOOKUP(Table13[[#This Row],[Month Year]],JMR!$A:$A,JMR!$J:$J))),"")</f>
        <v/>
      </c>
      <c r="AB223" s="101" t="str">
        <f>IFERROR(_xlfn.XLOOKUP($A223,'Raw Data'!$G:$G,'Raw Data'!H:H),"")</f>
        <v/>
      </c>
      <c r="AC223" s="67">
        <f>IFERROR(_xlfn.XLOOKUP($D223,'Modelling New'!$D:$D,'Modelling New'!P:P),"")</f>
        <v>5.4333333333333336</v>
      </c>
      <c r="AD223" s="101">
        <f>IFERROR(_xlfn.XLOOKUP($D223,'Modelling New'!$D:$D,'Modelling New'!$T:$T)*1000,"")</f>
        <v>30935.368854830132</v>
      </c>
      <c r="AE223" s="109">
        <f>IFERROR(_xlfn.XLOOKUP($D223,'Modelling New'!$D:$D,'Modelling New'!O:O),"")</f>
        <v>0.70984879123298372</v>
      </c>
      <c r="AF223" s="108">
        <f>IFERROR(_xlfn.XLOOKUP($D223,'Modelling New'!$D:$D,'Modelling New'!W:W),"")</f>
        <v>0.160701879126356</v>
      </c>
      <c r="AG223" s="108">
        <f>IFERROR(_xlfn.XLOOKUP($D223,'Modelling New'!$D:$D,'Modelling New'!AE:AE),"")</f>
        <v>0.98040000000000005</v>
      </c>
      <c r="AH223" s="128">
        <f>IFERROR(_xlfn.XLOOKUP($D223,'Modelling New'!$D:$D,'Modelling New'!AF:AF),"")</f>
        <v>0.98</v>
      </c>
      <c r="AN223" s="105"/>
      <c r="AO223" s="108"/>
      <c r="AP223" s="108"/>
      <c r="AQ223" s="108"/>
      <c r="AR223" s="101">
        <f>'Basic Data'!$B$98/1000</f>
        <v>8.0208999999999993</v>
      </c>
      <c r="AT223" s="7" t="str">
        <f>IFERROR(_xlfn.XLOOKUP(Table13[[#This Row],[Date]],'Raw Data'!$G:$G,'Raw Data'!$AN:$AN),"")</f>
        <v/>
      </c>
      <c r="AU223" s="7">
        <f>IFERROR(_xlfn.XLOOKUP(Table13[[#This Row],[Month Year]],'Modelling New'!$D:$D,'Modelling New'!$AO:$AO),"")</f>
        <v>8</v>
      </c>
      <c r="AV223" s="7">
        <f>SUMIF('Curtailment Records'!$C:$C,Table13[[#This Row],[Date]],'Curtailment Records'!$R:$R)/1000</f>
        <v>0</v>
      </c>
    </row>
    <row r="224" spans="1:48" x14ac:dyDescent="0.3">
      <c r="A224" s="100">
        <f t="shared" si="15"/>
        <v>45967</v>
      </c>
      <c r="B224" s="101">
        <f>YEAR(Table13[[#This Row],[Date]])+IF(MONTH(Table13[[#This Row],[Date]])&gt;=4,1,0)</f>
        <v>2026</v>
      </c>
      <c r="C224" s="7">
        <f>YEAR(Table13[[#This Row],[Date]])</f>
        <v>2025</v>
      </c>
      <c r="D224" s="102">
        <f>Table13[[#This Row],[Date]]-DAY(Table13[[#This Row],[Date]])+1</f>
        <v>45962</v>
      </c>
      <c r="E224" s="7">
        <f t="shared" si="12"/>
        <v>30</v>
      </c>
      <c r="F224" s="103" t="str">
        <f>IFERROR(_xlfn.XLOOKUP($A224,'Raw Data'!$G:$G,'Raw Data'!$AM:$AM),"")</f>
        <v/>
      </c>
      <c r="G224" s="104" t="str">
        <f>IFERROR(_xlfn.XLOOKUP($A224,'Raw Data'!$G:$G,'Raw Data'!$AB:$AB),"")</f>
        <v/>
      </c>
      <c r="H224" s="104"/>
      <c r="I224" s="104" t="str">
        <f>IFERROR(_xlfn.XLOOKUP($A224,'Raw Data'!$G:$G,'Raw Data'!$AC:$AC),"")</f>
        <v/>
      </c>
      <c r="J224" s="104"/>
      <c r="K224" s="104" t="str">
        <f>IFERROR(_xlfn.XLOOKUP($A224,'Raw Data'!$G:$G,'Raw Data'!AD:AD),"")</f>
        <v/>
      </c>
      <c r="L224" s="104" t="str">
        <f>IFERROR(_xlfn.XLOOKUP($A224,'Raw Data'!$G:$G,'Raw Data'!AE:AE),"")</f>
        <v/>
      </c>
      <c r="M224" s="104" t="str">
        <f>IFERROR(_xlfn.XLOOKUP($A224,'Raw Data'!$G:$G,'Raw Data'!AF:AF),"")</f>
        <v/>
      </c>
      <c r="N224" s="104" t="str">
        <f>IFERROR(_xlfn.XLOOKUP($A224,'Raw Data'!$G:$G,'Raw Data'!AG:AG),"")</f>
        <v/>
      </c>
      <c r="O224" s="105" t="str">
        <f>IFERROR(1-SUMIF('Plant BD'!$B:$B,$A224,'Plant BD'!$AM:$AM)/($AA224+SUMIF('Plant BD'!$B:$B,$A224,'Plant BD'!$AM:$AM)),"")</f>
        <v/>
      </c>
      <c r="P224" s="105"/>
      <c r="Q224" s="106"/>
      <c r="R224" s="105" t="str">
        <f>IFERROR(1-SUMIF('Grid BD'!$B:$B,$A224,'Grid BD'!$AE:$AE)/($AA224+SUMIF('Grid BD'!$B:$B,$A224,'Grid BD'!$AE:$AE)),"")</f>
        <v/>
      </c>
      <c r="T224" s="106"/>
      <c r="U224" s="107" t="str">
        <f t="shared" si="13"/>
        <v/>
      </c>
      <c r="V224" s="107"/>
      <c r="W224" s="108" t="str">
        <f t="shared" si="14"/>
        <v/>
      </c>
      <c r="X224" s="101" t="str">
        <f>IFERROR(_xlfn.XLOOKUP($A224,'Raw Data'!$G:$G,'Raw Data'!AI:AI),"")</f>
        <v/>
      </c>
      <c r="Y224" s="101" t="str">
        <f>IFERROR(_xlfn.XLOOKUP($A224,'Raw Data'!$G:$G,'Raw Data'!AJ:AJ),"")</f>
        <v/>
      </c>
      <c r="Z224" s="101" t="str">
        <f>IFERROR(_xlfn.XLOOKUP($A224,'Raw Data'!$G:$G,'Raw Data'!AK:AK),"")</f>
        <v/>
      </c>
      <c r="AA224" s="101" t="str">
        <f>IFERROR(_xlfn.XLOOKUP($A224,'Raw Data'!$G:$G,'Raw Data'!$AL:$AL)*(1+(_xlfn.XLOOKUP(Table13[[#This Row],[Month Year]],JMR!$A:$A,JMR!$J:$J))),"")</f>
        <v/>
      </c>
      <c r="AB224" s="101" t="str">
        <f>IFERROR(_xlfn.XLOOKUP($A224,'Raw Data'!$G:$G,'Raw Data'!H:H),"")</f>
        <v/>
      </c>
      <c r="AC224" s="67">
        <f>IFERROR(_xlfn.XLOOKUP($D224,'Modelling New'!$D:$D,'Modelling New'!P:P),"")</f>
        <v>5.4333333333333336</v>
      </c>
      <c r="AD224" s="101">
        <f>IFERROR(_xlfn.XLOOKUP($D224,'Modelling New'!$D:$D,'Modelling New'!$T:$T)*1000,"")</f>
        <v>30935.368854830132</v>
      </c>
      <c r="AE224" s="109">
        <f>IFERROR(_xlfn.XLOOKUP($D224,'Modelling New'!$D:$D,'Modelling New'!O:O),"")</f>
        <v>0.70984879123298372</v>
      </c>
      <c r="AF224" s="108">
        <f>IFERROR(_xlfn.XLOOKUP($D224,'Modelling New'!$D:$D,'Modelling New'!W:W),"")</f>
        <v>0.160701879126356</v>
      </c>
      <c r="AG224" s="108">
        <f>IFERROR(_xlfn.XLOOKUP($D224,'Modelling New'!$D:$D,'Modelling New'!AE:AE),"")</f>
        <v>0.98040000000000005</v>
      </c>
      <c r="AH224" s="128">
        <f>IFERROR(_xlfn.XLOOKUP($D224,'Modelling New'!$D:$D,'Modelling New'!AF:AF),"")</f>
        <v>0.98</v>
      </c>
      <c r="AN224" s="105"/>
      <c r="AO224" s="108"/>
      <c r="AP224" s="108"/>
      <c r="AQ224" s="108"/>
      <c r="AR224" s="101">
        <f>'Basic Data'!$B$98/1000</f>
        <v>8.0208999999999993</v>
      </c>
      <c r="AT224" s="7" t="str">
        <f>IFERROR(_xlfn.XLOOKUP(Table13[[#This Row],[Date]],'Raw Data'!$G:$G,'Raw Data'!$AN:$AN),"")</f>
        <v/>
      </c>
      <c r="AU224" s="7">
        <f>IFERROR(_xlfn.XLOOKUP(Table13[[#This Row],[Month Year]],'Modelling New'!$D:$D,'Modelling New'!$AO:$AO),"")</f>
        <v>8</v>
      </c>
      <c r="AV224" s="7">
        <f>SUMIF('Curtailment Records'!$C:$C,Table13[[#This Row],[Date]],'Curtailment Records'!$R:$R)/1000</f>
        <v>0</v>
      </c>
    </row>
    <row r="225" spans="1:48" x14ac:dyDescent="0.3">
      <c r="A225" s="100">
        <f t="shared" si="15"/>
        <v>45968</v>
      </c>
      <c r="B225" s="101">
        <f>YEAR(Table13[[#This Row],[Date]])+IF(MONTH(Table13[[#This Row],[Date]])&gt;=4,1,0)</f>
        <v>2026</v>
      </c>
      <c r="C225" s="7">
        <f>YEAR(Table13[[#This Row],[Date]])</f>
        <v>2025</v>
      </c>
      <c r="D225" s="102">
        <f>Table13[[#This Row],[Date]]-DAY(Table13[[#This Row],[Date]])+1</f>
        <v>45962</v>
      </c>
      <c r="E225" s="7">
        <f t="shared" si="12"/>
        <v>30</v>
      </c>
      <c r="F225" s="103" t="str">
        <f>IFERROR(_xlfn.XLOOKUP($A225,'Raw Data'!$G:$G,'Raw Data'!$AM:$AM),"")</f>
        <v/>
      </c>
      <c r="G225" s="104" t="str">
        <f>IFERROR(_xlfn.XLOOKUP($A225,'Raw Data'!$G:$G,'Raw Data'!$AB:$AB),"")</f>
        <v/>
      </c>
      <c r="H225" s="104"/>
      <c r="I225" s="104" t="str">
        <f>IFERROR(_xlfn.XLOOKUP($A225,'Raw Data'!$G:$G,'Raw Data'!$AC:$AC),"")</f>
        <v/>
      </c>
      <c r="J225" s="104"/>
      <c r="K225" s="104" t="str">
        <f>IFERROR(_xlfn.XLOOKUP($A225,'Raw Data'!$G:$G,'Raw Data'!AD:AD),"")</f>
        <v/>
      </c>
      <c r="L225" s="104" t="str">
        <f>IFERROR(_xlfn.XLOOKUP($A225,'Raw Data'!$G:$G,'Raw Data'!AE:AE),"")</f>
        <v/>
      </c>
      <c r="M225" s="104" t="str">
        <f>IFERROR(_xlfn.XLOOKUP($A225,'Raw Data'!$G:$G,'Raw Data'!AF:AF),"")</f>
        <v/>
      </c>
      <c r="N225" s="104" t="str">
        <f>IFERROR(_xlfn.XLOOKUP($A225,'Raw Data'!$G:$G,'Raw Data'!AG:AG),"")</f>
        <v/>
      </c>
      <c r="O225" s="105" t="str">
        <f>IFERROR(1-SUMIF('Plant BD'!$B:$B,$A225,'Plant BD'!$AM:$AM)/($AA225+SUMIF('Plant BD'!$B:$B,$A225,'Plant BD'!$AM:$AM)),"")</f>
        <v/>
      </c>
      <c r="P225" s="105"/>
      <c r="Q225" s="106"/>
      <c r="R225" s="105" t="str">
        <f>IFERROR(1-SUMIF('Grid BD'!$B:$B,$A225,'Grid BD'!$AE:$AE)/($AA225+SUMIF('Grid BD'!$B:$B,$A225,'Grid BD'!$AE:$AE)),"")</f>
        <v/>
      </c>
      <c r="T225" s="106"/>
      <c r="U225" s="107" t="str">
        <f t="shared" si="13"/>
        <v/>
      </c>
      <c r="V225" s="107"/>
      <c r="W225" s="108" t="str">
        <f t="shared" si="14"/>
        <v/>
      </c>
      <c r="X225" s="101" t="str">
        <f>IFERROR(_xlfn.XLOOKUP($A225,'Raw Data'!$G:$G,'Raw Data'!AI:AI),"")</f>
        <v/>
      </c>
      <c r="Y225" s="101" t="str">
        <f>IFERROR(_xlfn.XLOOKUP($A225,'Raw Data'!$G:$G,'Raw Data'!AJ:AJ),"")</f>
        <v/>
      </c>
      <c r="Z225" s="101" t="str">
        <f>IFERROR(_xlfn.XLOOKUP($A225,'Raw Data'!$G:$G,'Raw Data'!AK:AK),"")</f>
        <v/>
      </c>
      <c r="AA225" s="101" t="str">
        <f>IFERROR(_xlfn.XLOOKUP($A225,'Raw Data'!$G:$G,'Raw Data'!$AL:$AL)*(1+(_xlfn.XLOOKUP(Table13[[#This Row],[Month Year]],JMR!$A:$A,JMR!$J:$J))),"")</f>
        <v/>
      </c>
      <c r="AB225" s="101" t="str">
        <f>IFERROR(_xlfn.XLOOKUP($A225,'Raw Data'!$G:$G,'Raw Data'!H:H),"")</f>
        <v/>
      </c>
      <c r="AC225" s="67">
        <f>IFERROR(_xlfn.XLOOKUP($D225,'Modelling New'!$D:$D,'Modelling New'!P:P),"")</f>
        <v>5.4333333333333336</v>
      </c>
      <c r="AD225" s="101">
        <f>IFERROR(_xlfn.XLOOKUP($D225,'Modelling New'!$D:$D,'Modelling New'!$T:$T)*1000,"")</f>
        <v>30935.368854830132</v>
      </c>
      <c r="AE225" s="109">
        <f>IFERROR(_xlfn.XLOOKUP($D225,'Modelling New'!$D:$D,'Modelling New'!O:O),"")</f>
        <v>0.70984879123298372</v>
      </c>
      <c r="AF225" s="108">
        <f>IFERROR(_xlfn.XLOOKUP($D225,'Modelling New'!$D:$D,'Modelling New'!W:W),"")</f>
        <v>0.160701879126356</v>
      </c>
      <c r="AG225" s="108">
        <f>IFERROR(_xlfn.XLOOKUP($D225,'Modelling New'!$D:$D,'Modelling New'!AE:AE),"")</f>
        <v>0.98040000000000005</v>
      </c>
      <c r="AH225" s="128">
        <f>IFERROR(_xlfn.XLOOKUP($D225,'Modelling New'!$D:$D,'Modelling New'!AF:AF),"")</f>
        <v>0.98</v>
      </c>
      <c r="AN225" s="105"/>
      <c r="AO225" s="108"/>
      <c r="AP225" s="108"/>
      <c r="AQ225" s="108"/>
      <c r="AR225" s="101">
        <f>'Basic Data'!$B$98/1000</f>
        <v>8.0208999999999993</v>
      </c>
      <c r="AT225" s="7" t="str">
        <f>IFERROR(_xlfn.XLOOKUP(Table13[[#This Row],[Date]],'Raw Data'!$G:$G,'Raw Data'!$AN:$AN),"")</f>
        <v/>
      </c>
      <c r="AU225" s="7">
        <f>IFERROR(_xlfn.XLOOKUP(Table13[[#This Row],[Month Year]],'Modelling New'!$D:$D,'Modelling New'!$AO:$AO),"")</f>
        <v>8</v>
      </c>
      <c r="AV225" s="7">
        <f>SUMIF('Curtailment Records'!$C:$C,Table13[[#This Row],[Date]],'Curtailment Records'!$R:$R)/1000</f>
        <v>0</v>
      </c>
    </row>
    <row r="226" spans="1:48" x14ac:dyDescent="0.3">
      <c r="A226" s="100">
        <f t="shared" si="15"/>
        <v>45969</v>
      </c>
      <c r="B226" s="101">
        <f>YEAR(Table13[[#This Row],[Date]])+IF(MONTH(Table13[[#This Row],[Date]])&gt;=4,1,0)</f>
        <v>2026</v>
      </c>
      <c r="C226" s="7">
        <f>YEAR(Table13[[#This Row],[Date]])</f>
        <v>2025</v>
      </c>
      <c r="D226" s="102">
        <f>Table13[[#This Row],[Date]]-DAY(Table13[[#This Row],[Date]])+1</f>
        <v>45962</v>
      </c>
      <c r="E226" s="7">
        <f t="shared" si="12"/>
        <v>30</v>
      </c>
      <c r="F226" s="103" t="str">
        <f>IFERROR(_xlfn.XLOOKUP($A226,'Raw Data'!$G:$G,'Raw Data'!$AM:$AM),"")</f>
        <v/>
      </c>
      <c r="G226" s="104" t="str">
        <f>IFERROR(_xlfn.XLOOKUP($A226,'Raw Data'!$G:$G,'Raw Data'!$AB:$AB),"")</f>
        <v/>
      </c>
      <c r="H226" s="104"/>
      <c r="I226" s="104" t="str">
        <f>IFERROR(_xlfn.XLOOKUP($A226,'Raw Data'!$G:$G,'Raw Data'!$AC:$AC),"")</f>
        <v/>
      </c>
      <c r="J226" s="104"/>
      <c r="K226" s="104" t="str">
        <f>IFERROR(_xlfn.XLOOKUP($A226,'Raw Data'!$G:$G,'Raw Data'!AD:AD),"")</f>
        <v/>
      </c>
      <c r="L226" s="104" t="str">
        <f>IFERROR(_xlfn.XLOOKUP($A226,'Raw Data'!$G:$G,'Raw Data'!AE:AE),"")</f>
        <v/>
      </c>
      <c r="M226" s="104" t="str">
        <f>IFERROR(_xlfn.XLOOKUP($A226,'Raw Data'!$G:$G,'Raw Data'!AF:AF),"")</f>
        <v/>
      </c>
      <c r="N226" s="104" t="str">
        <f>IFERROR(_xlfn.XLOOKUP($A226,'Raw Data'!$G:$G,'Raw Data'!AG:AG),"")</f>
        <v/>
      </c>
      <c r="O226" s="105" t="str">
        <f>IFERROR(1-SUMIF('Plant BD'!$B:$B,$A226,'Plant BD'!$AM:$AM)/($AA226+SUMIF('Plant BD'!$B:$B,$A226,'Plant BD'!$AM:$AM)),"")</f>
        <v/>
      </c>
      <c r="P226" s="105"/>
      <c r="Q226" s="106"/>
      <c r="R226" s="105" t="str">
        <f>IFERROR(1-SUMIF('Grid BD'!$B:$B,$A226,'Grid BD'!$AE:$AE)/($AA226+SUMIF('Grid BD'!$B:$B,$A226,'Grid BD'!$AE:$AE)),"")</f>
        <v/>
      </c>
      <c r="T226" s="106"/>
      <c r="U226" s="107" t="str">
        <f t="shared" si="13"/>
        <v/>
      </c>
      <c r="V226" s="107"/>
      <c r="W226" s="108" t="str">
        <f t="shared" si="14"/>
        <v/>
      </c>
      <c r="X226" s="101" t="str">
        <f>IFERROR(_xlfn.XLOOKUP($A226,'Raw Data'!$G:$G,'Raw Data'!AI:AI),"")</f>
        <v/>
      </c>
      <c r="Y226" s="101" t="str">
        <f>IFERROR(_xlfn.XLOOKUP($A226,'Raw Data'!$G:$G,'Raw Data'!AJ:AJ),"")</f>
        <v/>
      </c>
      <c r="Z226" s="101" t="str">
        <f>IFERROR(_xlfn.XLOOKUP($A226,'Raw Data'!$G:$G,'Raw Data'!AK:AK),"")</f>
        <v/>
      </c>
      <c r="AA226" s="101" t="str">
        <f>IFERROR(_xlfn.XLOOKUP($A226,'Raw Data'!$G:$G,'Raw Data'!$AL:$AL)*(1+(_xlfn.XLOOKUP(Table13[[#This Row],[Month Year]],JMR!$A:$A,JMR!$J:$J))),"")</f>
        <v/>
      </c>
      <c r="AB226" s="101" t="str">
        <f>IFERROR(_xlfn.XLOOKUP($A226,'Raw Data'!$G:$G,'Raw Data'!H:H),"")</f>
        <v/>
      </c>
      <c r="AC226" s="67">
        <f>IFERROR(_xlfn.XLOOKUP($D226,'Modelling New'!$D:$D,'Modelling New'!P:P),"")</f>
        <v>5.4333333333333336</v>
      </c>
      <c r="AD226" s="101">
        <f>IFERROR(_xlfn.XLOOKUP($D226,'Modelling New'!$D:$D,'Modelling New'!$T:$T)*1000,"")</f>
        <v>30935.368854830132</v>
      </c>
      <c r="AE226" s="109">
        <f>IFERROR(_xlfn.XLOOKUP($D226,'Modelling New'!$D:$D,'Modelling New'!O:O),"")</f>
        <v>0.70984879123298372</v>
      </c>
      <c r="AF226" s="108">
        <f>IFERROR(_xlfn.XLOOKUP($D226,'Modelling New'!$D:$D,'Modelling New'!W:W),"")</f>
        <v>0.160701879126356</v>
      </c>
      <c r="AG226" s="108">
        <f>IFERROR(_xlfn.XLOOKUP($D226,'Modelling New'!$D:$D,'Modelling New'!AE:AE),"")</f>
        <v>0.98040000000000005</v>
      </c>
      <c r="AH226" s="128">
        <f>IFERROR(_xlfn.XLOOKUP($D226,'Modelling New'!$D:$D,'Modelling New'!AF:AF),"")</f>
        <v>0.98</v>
      </c>
      <c r="AN226" s="105"/>
      <c r="AO226" s="108"/>
      <c r="AP226" s="108"/>
      <c r="AQ226" s="108"/>
      <c r="AR226" s="101">
        <f>'Basic Data'!$B$98/1000</f>
        <v>8.0208999999999993</v>
      </c>
      <c r="AT226" s="7" t="str">
        <f>IFERROR(_xlfn.XLOOKUP(Table13[[#This Row],[Date]],'Raw Data'!$G:$G,'Raw Data'!$AN:$AN),"")</f>
        <v/>
      </c>
      <c r="AU226" s="7">
        <f>IFERROR(_xlfn.XLOOKUP(Table13[[#This Row],[Month Year]],'Modelling New'!$D:$D,'Modelling New'!$AO:$AO),"")</f>
        <v>8</v>
      </c>
      <c r="AV226" s="7">
        <f>SUMIF('Curtailment Records'!$C:$C,Table13[[#This Row],[Date]],'Curtailment Records'!$R:$R)/1000</f>
        <v>0</v>
      </c>
    </row>
    <row r="227" spans="1:48" x14ac:dyDescent="0.3">
      <c r="A227" s="100">
        <f t="shared" si="15"/>
        <v>45970</v>
      </c>
      <c r="B227" s="101">
        <f>YEAR(Table13[[#This Row],[Date]])+IF(MONTH(Table13[[#This Row],[Date]])&gt;=4,1,0)</f>
        <v>2026</v>
      </c>
      <c r="C227" s="7">
        <f>YEAR(Table13[[#This Row],[Date]])</f>
        <v>2025</v>
      </c>
      <c r="D227" s="102">
        <f>Table13[[#This Row],[Date]]-DAY(Table13[[#This Row],[Date]])+1</f>
        <v>45962</v>
      </c>
      <c r="E227" s="7">
        <f t="shared" si="12"/>
        <v>30</v>
      </c>
      <c r="F227" s="103" t="str">
        <f>IFERROR(_xlfn.XLOOKUP($A227,'Raw Data'!$G:$G,'Raw Data'!$AM:$AM),"")</f>
        <v/>
      </c>
      <c r="G227" s="104" t="str">
        <f>IFERROR(_xlfn.XLOOKUP($A227,'Raw Data'!$G:$G,'Raw Data'!$AB:$AB),"")</f>
        <v/>
      </c>
      <c r="H227" s="104"/>
      <c r="I227" s="104" t="str">
        <f>IFERROR(_xlfn.XLOOKUP($A227,'Raw Data'!$G:$G,'Raw Data'!$AC:$AC),"")</f>
        <v/>
      </c>
      <c r="J227" s="104"/>
      <c r="K227" s="104" t="str">
        <f>IFERROR(_xlfn.XLOOKUP($A227,'Raw Data'!$G:$G,'Raw Data'!AD:AD),"")</f>
        <v/>
      </c>
      <c r="L227" s="104" t="str">
        <f>IFERROR(_xlfn.XLOOKUP($A227,'Raw Data'!$G:$G,'Raw Data'!AE:AE),"")</f>
        <v/>
      </c>
      <c r="M227" s="104" t="str">
        <f>IFERROR(_xlfn.XLOOKUP($A227,'Raw Data'!$G:$G,'Raw Data'!AF:AF),"")</f>
        <v/>
      </c>
      <c r="N227" s="104" t="str">
        <f>IFERROR(_xlfn.XLOOKUP($A227,'Raw Data'!$G:$G,'Raw Data'!AG:AG),"")</f>
        <v/>
      </c>
      <c r="O227" s="105" t="str">
        <f>IFERROR(1-SUMIF('Plant BD'!$B:$B,$A227,'Plant BD'!$AM:$AM)/($AA227+SUMIF('Plant BD'!$B:$B,$A227,'Plant BD'!$AM:$AM)),"")</f>
        <v/>
      </c>
      <c r="P227" s="105"/>
      <c r="Q227" s="106"/>
      <c r="R227" s="105" t="str">
        <f>IFERROR(1-SUMIF('Grid BD'!$B:$B,$A227,'Grid BD'!$AE:$AE)/($AA227+SUMIF('Grid BD'!$B:$B,$A227,'Grid BD'!$AE:$AE)),"")</f>
        <v/>
      </c>
      <c r="T227" s="106"/>
      <c r="U227" s="107" t="str">
        <f t="shared" si="13"/>
        <v/>
      </c>
      <c r="V227" s="107"/>
      <c r="W227" s="108" t="str">
        <f t="shared" si="14"/>
        <v/>
      </c>
      <c r="X227" s="101" t="str">
        <f>IFERROR(_xlfn.XLOOKUP($A227,'Raw Data'!$G:$G,'Raw Data'!AI:AI),"")</f>
        <v/>
      </c>
      <c r="Y227" s="101" t="str">
        <f>IFERROR(_xlfn.XLOOKUP($A227,'Raw Data'!$G:$G,'Raw Data'!AJ:AJ),"")</f>
        <v/>
      </c>
      <c r="Z227" s="101" t="str">
        <f>IFERROR(_xlfn.XLOOKUP($A227,'Raw Data'!$G:$G,'Raw Data'!AK:AK),"")</f>
        <v/>
      </c>
      <c r="AA227" s="101" t="str">
        <f>IFERROR(_xlfn.XLOOKUP($A227,'Raw Data'!$G:$G,'Raw Data'!$AL:$AL)*(1+(_xlfn.XLOOKUP(Table13[[#This Row],[Month Year]],JMR!$A:$A,JMR!$J:$J))),"")</f>
        <v/>
      </c>
      <c r="AB227" s="101" t="str">
        <f>IFERROR(_xlfn.XLOOKUP($A227,'Raw Data'!$G:$G,'Raw Data'!H:H),"")</f>
        <v/>
      </c>
      <c r="AC227" s="67">
        <f>IFERROR(_xlfn.XLOOKUP($D227,'Modelling New'!$D:$D,'Modelling New'!P:P),"")</f>
        <v>5.4333333333333336</v>
      </c>
      <c r="AD227" s="101">
        <f>IFERROR(_xlfn.XLOOKUP($D227,'Modelling New'!$D:$D,'Modelling New'!$T:$T)*1000,"")</f>
        <v>30935.368854830132</v>
      </c>
      <c r="AE227" s="109">
        <f>IFERROR(_xlfn.XLOOKUP($D227,'Modelling New'!$D:$D,'Modelling New'!O:O),"")</f>
        <v>0.70984879123298372</v>
      </c>
      <c r="AF227" s="108">
        <f>IFERROR(_xlfn.XLOOKUP($D227,'Modelling New'!$D:$D,'Modelling New'!W:W),"")</f>
        <v>0.160701879126356</v>
      </c>
      <c r="AG227" s="108">
        <f>IFERROR(_xlfn.XLOOKUP($D227,'Modelling New'!$D:$D,'Modelling New'!AE:AE),"")</f>
        <v>0.98040000000000005</v>
      </c>
      <c r="AH227" s="128">
        <f>IFERROR(_xlfn.XLOOKUP($D227,'Modelling New'!$D:$D,'Modelling New'!AF:AF),"")</f>
        <v>0.98</v>
      </c>
      <c r="AN227" s="105"/>
      <c r="AO227" s="108"/>
      <c r="AP227" s="108"/>
      <c r="AQ227" s="108"/>
      <c r="AR227" s="101">
        <f>'Basic Data'!$B$98/1000</f>
        <v>8.0208999999999993</v>
      </c>
      <c r="AT227" s="7" t="str">
        <f>IFERROR(_xlfn.XLOOKUP(Table13[[#This Row],[Date]],'Raw Data'!$G:$G,'Raw Data'!$AN:$AN),"")</f>
        <v/>
      </c>
      <c r="AU227" s="7">
        <f>IFERROR(_xlfn.XLOOKUP(Table13[[#This Row],[Month Year]],'Modelling New'!$D:$D,'Modelling New'!$AO:$AO),"")</f>
        <v>8</v>
      </c>
      <c r="AV227" s="7">
        <f>SUMIF('Curtailment Records'!$C:$C,Table13[[#This Row],[Date]],'Curtailment Records'!$R:$R)/1000</f>
        <v>0</v>
      </c>
    </row>
    <row r="228" spans="1:48" x14ac:dyDescent="0.3">
      <c r="A228" s="100">
        <f t="shared" si="15"/>
        <v>45971</v>
      </c>
      <c r="B228" s="101">
        <f>YEAR(Table13[[#This Row],[Date]])+IF(MONTH(Table13[[#This Row],[Date]])&gt;=4,1,0)</f>
        <v>2026</v>
      </c>
      <c r="C228" s="7">
        <f>YEAR(Table13[[#This Row],[Date]])</f>
        <v>2025</v>
      </c>
      <c r="D228" s="102">
        <f>Table13[[#This Row],[Date]]-DAY(Table13[[#This Row],[Date]])+1</f>
        <v>45962</v>
      </c>
      <c r="E228" s="7">
        <f t="shared" si="12"/>
        <v>30</v>
      </c>
      <c r="F228" s="103" t="str">
        <f>IFERROR(_xlfn.XLOOKUP($A228,'Raw Data'!$G:$G,'Raw Data'!$AM:$AM),"")</f>
        <v/>
      </c>
      <c r="G228" s="104" t="str">
        <f>IFERROR(_xlfn.XLOOKUP($A228,'Raw Data'!$G:$G,'Raw Data'!$AB:$AB),"")</f>
        <v/>
      </c>
      <c r="H228" s="104"/>
      <c r="I228" s="104" t="str">
        <f>IFERROR(_xlfn.XLOOKUP($A228,'Raw Data'!$G:$G,'Raw Data'!$AC:$AC),"")</f>
        <v/>
      </c>
      <c r="J228" s="104"/>
      <c r="K228" s="104" t="str">
        <f>IFERROR(_xlfn.XLOOKUP($A228,'Raw Data'!$G:$G,'Raw Data'!AD:AD),"")</f>
        <v/>
      </c>
      <c r="L228" s="104" t="str">
        <f>IFERROR(_xlfn.XLOOKUP($A228,'Raw Data'!$G:$G,'Raw Data'!AE:AE),"")</f>
        <v/>
      </c>
      <c r="M228" s="104" t="str">
        <f>IFERROR(_xlfn.XLOOKUP($A228,'Raw Data'!$G:$G,'Raw Data'!AF:AF),"")</f>
        <v/>
      </c>
      <c r="N228" s="104" t="str">
        <f>IFERROR(_xlfn.XLOOKUP($A228,'Raw Data'!$G:$G,'Raw Data'!AG:AG),"")</f>
        <v/>
      </c>
      <c r="O228" s="105" t="str">
        <f>IFERROR(1-SUMIF('Plant BD'!$B:$B,$A228,'Plant BD'!$AM:$AM)/($AA228+SUMIF('Plant BD'!$B:$B,$A228,'Plant BD'!$AM:$AM)),"")</f>
        <v/>
      </c>
      <c r="P228" s="105"/>
      <c r="Q228" s="106"/>
      <c r="R228" s="105" t="str">
        <f>IFERROR(1-SUMIF('Grid BD'!$B:$B,$A228,'Grid BD'!$AE:$AE)/($AA228+SUMIF('Grid BD'!$B:$B,$A228,'Grid BD'!$AE:$AE)),"")</f>
        <v/>
      </c>
      <c r="T228" s="106"/>
      <c r="U228" s="107" t="str">
        <f t="shared" si="13"/>
        <v/>
      </c>
      <c r="V228" s="107"/>
      <c r="W228" s="108" t="str">
        <f t="shared" si="14"/>
        <v/>
      </c>
      <c r="X228" s="101" t="str">
        <f>IFERROR(_xlfn.XLOOKUP($A228,'Raw Data'!$G:$G,'Raw Data'!AI:AI),"")</f>
        <v/>
      </c>
      <c r="Y228" s="101" t="str">
        <f>IFERROR(_xlfn.XLOOKUP($A228,'Raw Data'!$G:$G,'Raw Data'!AJ:AJ),"")</f>
        <v/>
      </c>
      <c r="Z228" s="101" t="str">
        <f>IFERROR(_xlfn.XLOOKUP($A228,'Raw Data'!$G:$G,'Raw Data'!AK:AK),"")</f>
        <v/>
      </c>
      <c r="AA228" s="101" t="str">
        <f>IFERROR(_xlfn.XLOOKUP($A228,'Raw Data'!$G:$G,'Raw Data'!$AL:$AL)*(1+(_xlfn.XLOOKUP(Table13[[#This Row],[Month Year]],JMR!$A:$A,JMR!$J:$J))),"")</f>
        <v/>
      </c>
      <c r="AB228" s="101" t="str">
        <f>IFERROR(_xlfn.XLOOKUP($A228,'Raw Data'!$G:$G,'Raw Data'!H:H),"")</f>
        <v/>
      </c>
      <c r="AC228" s="67">
        <f>IFERROR(_xlfn.XLOOKUP($D228,'Modelling New'!$D:$D,'Modelling New'!P:P),"")</f>
        <v>5.4333333333333336</v>
      </c>
      <c r="AD228" s="101">
        <f>IFERROR(_xlfn.XLOOKUP($D228,'Modelling New'!$D:$D,'Modelling New'!$T:$T)*1000,"")</f>
        <v>30935.368854830132</v>
      </c>
      <c r="AE228" s="109">
        <f>IFERROR(_xlfn.XLOOKUP($D228,'Modelling New'!$D:$D,'Modelling New'!O:O),"")</f>
        <v>0.70984879123298372</v>
      </c>
      <c r="AF228" s="108">
        <f>IFERROR(_xlfn.XLOOKUP($D228,'Modelling New'!$D:$D,'Modelling New'!W:W),"")</f>
        <v>0.160701879126356</v>
      </c>
      <c r="AG228" s="108">
        <f>IFERROR(_xlfn.XLOOKUP($D228,'Modelling New'!$D:$D,'Modelling New'!AE:AE),"")</f>
        <v>0.98040000000000005</v>
      </c>
      <c r="AH228" s="128">
        <f>IFERROR(_xlfn.XLOOKUP($D228,'Modelling New'!$D:$D,'Modelling New'!AF:AF),"")</f>
        <v>0.98</v>
      </c>
      <c r="AN228" s="105"/>
      <c r="AO228" s="108"/>
      <c r="AP228" s="108"/>
      <c r="AQ228" s="108"/>
      <c r="AR228" s="101">
        <f>'Basic Data'!$B$98/1000</f>
        <v>8.0208999999999993</v>
      </c>
      <c r="AT228" s="7" t="str">
        <f>IFERROR(_xlfn.XLOOKUP(Table13[[#This Row],[Date]],'Raw Data'!$G:$G,'Raw Data'!$AN:$AN),"")</f>
        <v/>
      </c>
      <c r="AU228" s="7">
        <f>IFERROR(_xlfn.XLOOKUP(Table13[[#This Row],[Month Year]],'Modelling New'!$D:$D,'Modelling New'!$AO:$AO),"")</f>
        <v>8</v>
      </c>
      <c r="AV228" s="7">
        <f>SUMIF('Curtailment Records'!$C:$C,Table13[[#This Row],[Date]],'Curtailment Records'!$R:$R)/1000</f>
        <v>0</v>
      </c>
    </row>
    <row r="229" spans="1:48" x14ac:dyDescent="0.3">
      <c r="A229" s="100">
        <f t="shared" si="15"/>
        <v>45972</v>
      </c>
      <c r="B229" s="101">
        <f>YEAR(Table13[[#This Row],[Date]])+IF(MONTH(Table13[[#This Row],[Date]])&gt;=4,1,0)</f>
        <v>2026</v>
      </c>
      <c r="C229" s="7">
        <f>YEAR(Table13[[#This Row],[Date]])</f>
        <v>2025</v>
      </c>
      <c r="D229" s="102">
        <f>Table13[[#This Row],[Date]]-DAY(Table13[[#This Row],[Date]])+1</f>
        <v>45962</v>
      </c>
      <c r="E229" s="7">
        <f t="shared" si="12"/>
        <v>30</v>
      </c>
      <c r="F229" s="103" t="str">
        <f>IFERROR(_xlfn.XLOOKUP($A229,'Raw Data'!$G:$G,'Raw Data'!$AM:$AM),"")</f>
        <v/>
      </c>
      <c r="G229" s="104" t="str">
        <f>IFERROR(_xlfn.XLOOKUP($A229,'Raw Data'!$G:$G,'Raw Data'!$AB:$AB),"")</f>
        <v/>
      </c>
      <c r="H229" s="104"/>
      <c r="I229" s="104" t="str">
        <f>IFERROR(_xlfn.XLOOKUP($A229,'Raw Data'!$G:$G,'Raw Data'!$AC:$AC),"")</f>
        <v/>
      </c>
      <c r="J229" s="104"/>
      <c r="K229" s="104" t="str">
        <f>IFERROR(_xlfn.XLOOKUP($A229,'Raw Data'!$G:$G,'Raw Data'!AD:AD),"")</f>
        <v/>
      </c>
      <c r="L229" s="104" t="str">
        <f>IFERROR(_xlfn.XLOOKUP($A229,'Raw Data'!$G:$G,'Raw Data'!AE:AE),"")</f>
        <v/>
      </c>
      <c r="M229" s="104" t="str">
        <f>IFERROR(_xlfn.XLOOKUP($A229,'Raw Data'!$G:$G,'Raw Data'!AF:AF),"")</f>
        <v/>
      </c>
      <c r="N229" s="104" t="str">
        <f>IFERROR(_xlfn.XLOOKUP($A229,'Raw Data'!$G:$G,'Raw Data'!AG:AG),"")</f>
        <v/>
      </c>
      <c r="O229" s="105" t="str">
        <f>IFERROR(1-SUMIF('Plant BD'!$B:$B,$A229,'Plant BD'!$AM:$AM)/($AA229+SUMIF('Plant BD'!$B:$B,$A229,'Plant BD'!$AM:$AM)),"")</f>
        <v/>
      </c>
      <c r="P229" s="105"/>
      <c r="Q229" s="106"/>
      <c r="R229" s="105" t="str">
        <f>IFERROR(1-SUMIF('Grid BD'!$B:$B,$A229,'Grid BD'!$AE:$AE)/($AA229+SUMIF('Grid BD'!$B:$B,$A229,'Grid BD'!$AE:$AE)),"")</f>
        <v/>
      </c>
      <c r="T229" s="106"/>
      <c r="U229" s="107" t="str">
        <f t="shared" si="13"/>
        <v/>
      </c>
      <c r="V229" s="107"/>
      <c r="W229" s="108" t="str">
        <f t="shared" si="14"/>
        <v/>
      </c>
      <c r="X229" s="101" t="str">
        <f>IFERROR(_xlfn.XLOOKUP($A229,'Raw Data'!$G:$G,'Raw Data'!AI:AI),"")</f>
        <v/>
      </c>
      <c r="Y229" s="101" t="str">
        <f>IFERROR(_xlfn.XLOOKUP($A229,'Raw Data'!$G:$G,'Raw Data'!AJ:AJ),"")</f>
        <v/>
      </c>
      <c r="Z229" s="101" t="str">
        <f>IFERROR(_xlfn.XLOOKUP($A229,'Raw Data'!$G:$G,'Raw Data'!AK:AK),"")</f>
        <v/>
      </c>
      <c r="AA229" s="101" t="str">
        <f>IFERROR(_xlfn.XLOOKUP($A229,'Raw Data'!$G:$G,'Raw Data'!$AL:$AL)*(1+(_xlfn.XLOOKUP(Table13[[#This Row],[Month Year]],JMR!$A:$A,JMR!$J:$J))),"")</f>
        <v/>
      </c>
      <c r="AB229" s="101" t="str">
        <f>IFERROR(_xlfn.XLOOKUP($A229,'Raw Data'!$G:$G,'Raw Data'!H:H),"")</f>
        <v/>
      </c>
      <c r="AC229" s="67">
        <f>IFERROR(_xlfn.XLOOKUP($D229,'Modelling New'!$D:$D,'Modelling New'!P:P),"")</f>
        <v>5.4333333333333336</v>
      </c>
      <c r="AD229" s="101">
        <f>IFERROR(_xlfn.XLOOKUP($D229,'Modelling New'!$D:$D,'Modelling New'!$T:$T)*1000,"")</f>
        <v>30935.368854830132</v>
      </c>
      <c r="AE229" s="109">
        <f>IFERROR(_xlfn.XLOOKUP($D229,'Modelling New'!$D:$D,'Modelling New'!O:O),"")</f>
        <v>0.70984879123298372</v>
      </c>
      <c r="AF229" s="108">
        <f>IFERROR(_xlfn.XLOOKUP($D229,'Modelling New'!$D:$D,'Modelling New'!W:W),"")</f>
        <v>0.160701879126356</v>
      </c>
      <c r="AG229" s="108">
        <f>IFERROR(_xlfn.XLOOKUP($D229,'Modelling New'!$D:$D,'Modelling New'!AE:AE),"")</f>
        <v>0.98040000000000005</v>
      </c>
      <c r="AH229" s="128">
        <f>IFERROR(_xlfn.XLOOKUP($D229,'Modelling New'!$D:$D,'Modelling New'!AF:AF),"")</f>
        <v>0.98</v>
      </c>
      <c r="AN229" s="105"/>
      <c r="AO229" s="108"/>
      <c r="AP229" s="108"/>
      <c r="AQ229" s="108"/>
      <c r="AR229" s="101">
        <f>'Basic Data'!$B$98/1000</f>
        <v>8.0208999999999993</v>
      </c>
      <c r="AT229" s="7" t="str">
        <f>IFERROR(_xlfn.XLOOKUP(Table13[[#This Row],[Date]],'Raw Data'!$G:$G,'Raw Data'!$AN:$AN),"")</f>
        <v/>
      </c>
      <c r="AU229" s="7">
        <f>IFERROR(_xlfn.XLOOKUP(Table13[[#This Row],[Month Year]],'Modelling New'!$D:$D,'Modelling New'!$AO:$AO),"")</f>
        <v>8</v>
      </c>
      <c r="AV229" s="7">
        <f>SUMIF('Curtailment Records'!$C:$C,Table13[[#This Row],[Date]],'Curtailment Records'!$R:$R)/1000</f>
        <v>0</v>
      </c>
    </row>
    <row r="230" spans="1:48" x14ac:dyDescent="0.3">
      <c r="A230" s="100">
        <f t="shared" si="15"/>
        <v>45973</v>
      </c>
      <c r="B230" s="101">
        <f>YEAR(Table13[[#This Row],[Date]])+IF(MONTH(Table13[[#This Row],[Date]])&gt;=4,1,0)</f>
        <v>2026</v>
      </c>
      <c r="C230" s="7">
        <f>YEAR(Table13[[#This Row],[Date]])</f>
        <v>2025</v>
      </c>
      <c r="D230" s="102">
        <f>Table13[[#This Row],[Date]]-DAY(Table13[[#This Row],[Date]])+1</f>
        <v>45962</v>
      </c>
      <c r="E230" s="7">
        <f t="shared" si="12"/>
        <v>30</v>
      </c>
      <c r="F230" s="103" t="str">
        <f>IFERROR(_xlfn.XLOOKUP($A230,'Raw Data'!$G:$G,'Raw Data'!$AM:$AM),"")</f>
        <v/>
      </c>
      <c r="G230" s="104" t="str">
        <f>IFERROR(_xlfn.XLOOKUP($A230,'Raw Data'!$G:$G,'Raw Data'!$AB:$AB),"")</f>
        <v/>
      </c>
      <c r="H230" s="104"/>
      <c r="I230" s="104" t="str">
        <f>IFERROR(_xlfn.XLOOKUP($A230,'Raw Data'!$G:$G,'Raw Data'!$AC:$AC),"")</f>
        <v/>
      </c>
      <c r="J230" s="104"/>
      <c r="K230" s="104" t="str">
        <f>IFERROR(_xlfn.XLOOKUP($A230,'Raw Data'!$G:$G,'Raw Data'!AD:AD),"")</f>
        <v/>
      </c>
      <c r="L230" s="104" t="str">
        <f>IFERROR(_xlfn.XLOOKUP($A230,'Raw Data'!$G:$G,'Raw Data'!AE:AE),"")</f>
        <v/>
      </c>
      <c r="M230" s="104" t="str">
        <f>IFERROR(_xlfn.XLOOKUP($A230,'Raw Data'!$G:$G,'Raw Data'!AF:AF),"")</f>
        <v/>
      </c>
      <c r="N230" s="104" t="str">
        <f>IFERROR(_xlfn.XLOOKUP($A230,'Raw Data'!$G:$G,'Raw Data'!AG:AG),"")</f>
        <v/>
      </c>
      <c r="O230" s="105" t="str">
        <f>IFERROR(1-SUMIF('Plant BD'!$B:$B,$A230,'Plant BD'!$AM:$AM)/($AA230+SUMIF('Plant BD'!$B:$B,$A230,'Plant BD'!$AM:$AM)),"")</f>
        <v/>
      </c>
      <c r="P230" s="105"/>
      <c r="Q230" s="106"/>
      <c r="R230" s="105" t="str">
        <f>IFERROR(1-SUMIF('Grid BD'!$B:$B,$A230,'Grid BD'!$AE:$AE)/($AA230+SUMIF('Grid BD'!$B:$B,$A230,'Grid BD'!$AE:$AE)),"")</f>
        <v/>
      </c>
      <c r="T230" s="106"/>
      <c r="U230" s="107" t="str">
        <f t="shared" si="13"/>
        <v/>
      </c>
      <c r="V230" s="107"/>
      <c r="W230" s="108" t="str">
        <f t="shared" si="14"/>
        <v/>
      </c>
      <c r="X230" s="101" t="str">
        <f>IFERROR(_xlfn.XLOOKUP($A230,'Raw Data'!$G:$G,'Raw Data'!AI:AI),"")</f>
        <v/>
      </c>
      <c r="Y230" s="101" t="str">
        <f>IFERROR(_xlfn.XLOOKUP($A230,'Raw Data'!$G:$G,'Raw Data'!AJ:AJ),"")</f>
        <v/>
      </c>
      <c r="Z230" s="101" t="str">
        <f>IFERROR(_xlfn.XLOOKUP($A230,'Raw Data'!$G:$G,'Raw Data'!AK:AK),"")</f>
        <v/>
      </c>
      <c r="AA230" s="101" t="str">
        <f>IFERROR(_xlfn.XLOOKUP($A230,'Raw Data'!$G:$G,'Raw Data'!$AL:$AL)*(1+(_xlfn.XLOOKUP(Table13[[#This Row],[Month Year]],JMR!$A:$A,JMR!$J:$J))),"")</f>
        <v/>
      </c>
      <c r="AB230" s="101" t="str">
        <f>IFERROR(_xlfn.XLOOKUP($A230,'Raw Data'!$G:$G,'Raw Data'!H:H),"")</f>
        <v/>
      </c>
      <c r="AC230" s="67">
        <f>IFERROR(_xlfn.XLOOKUP($D230,'Modelling New'!$D:$D,'Modelling New'!P:P),"")</f>
        <v>5.4333333333333336</v>
      </c>
      <c r="AD230" s="101">
        <f>IFERROR(_xlfn.XLOOKUP($D230,'Modelling New'!$D:$D,'Modelling New'!$T:$T)*1000,"")</f>
        <v>30935.368854830132</v>
      </c>
      <c r="AE230" s="109">
        <f>IFERROR(_xlfn.XLOOKUP($D230,'Modelling New'!$D:$D,'Modelling New'!O:O),"")</f>
        <v>0.70984879123298372</v>
      </c>
      <c r="AF230" s="108">
        <f>IFERROR(_xlfn.XLOOKUP($D230,'Modelling New'!$D:$D,'Modelling New'!W:W),"")</f>
        <v>0.160701879126356</v>
      </c>
      <c r="AG230" s="108">
        <f>IFERROR(_xlfn.XLOOKUP($D230,'Modelling New'!$D:$D,'Modelling New'!AE:AE),"")</f>
        <v>0.98040000000000005</v>
      </c>
      <c r="AH230" s="128">
        <f>IFERROR(_xlfn.XLOOKUP($D230,'Modelling New'!$D:$D,'Modelling New'!AF:AF),"")</f>
        <v>0.98</v>
      </c>
      <c r="AN230" s="105"/>
      <c r="AO230" s="108"/>
      <c r="AP230" s="108"/>
      <c r="AQ230" s="108"/>
      <c r="AR230" s="101">
        <f>'Basic Data'!$B$98/1000</f>
        <v>8.0208999999999993</v>
      </c>
      <c r="AT230" s="7" t="str">
        <f>IFERROR(_xlfn.XLOOKUP(Table13[[#This Row],[Date]],'Raw Data'!$G:$G,'Raw Data'!$AN:$AN),"")</f>
        <v/>
      </c>
      <c r="AU230" s="7">
        <f>IFERROR(_xlfn.XLOOKUP(Table13[[#This Row],[Month Year]],'Modelling New'!$D:$D,'Modelling New'!$AO:$AO),"")</f>
        <v>8</v>
      </c>
      <c r="AV230" s="7">
        <f>SUMIF('Curtailment Records'!$C:$C,Table13[[#This Row],[Date]],'Curtailment Records'!$R:$R)/1000</f>
        <v>0</v>
      </c>
    </row>
    <row r="231" spans="1:48" x14ac:dyDescent="0.3">
      <c r="A231" s="100">
        <f t="shared" si="15"/>
        <v>45974</v>
      </c>
      <c r="B231" s="101">
        <f>YEAR(Table13[[#This Row],[Date]])+IF(MONTH(Table13[[#This Row],[Date]])&gt;=4,1,0)</f>
        <v>2026</v>
      </c>
      <c r="C231" s="7">
        <f>YEAR(Table13[[#This Row],[Date]])</f>
        <v>2025</v>
      </c>
      <c r="D231" s="102">
        <f>Table13[[#This Row],[Date]]-DAY(Table13[[#This Row],[Date]])+1</f>
        <v>45962</v>
      </c>
      <c r="E231" s="7">
        <f t="shared" si="12"/>
        <v>30</v>
      </c>
      <c r="F231" s="103" t="str">
        <f>IFERROR(_xlfn.XLOOKUP($A231,'Raw Data'!$G:$G,'Raw Data'!$AM:$AM),"")</f>
        <v/>
      </c>
      <c r="G231" s="104" t="str">
        <f>IFERROR(_xlfn.XLOOKUP($A231,'Raw Data'!$G:$G,'Raw Data'!$AB:$AB),"")</f>
        <v/>
      </c>
      <c r="H231" s="104"/>
      <c r="I231" s="104" t="str">
        <f>IFERROR(_xlfn.XLOOKUP($A231,'Raw Data'!$G:$G,'Raw Data'!$AC:$AC),"")</f>
        <v/>
      </c>
      <c r="J231" s="104"/>
      <c r="K231" s="104" t="str">
        <f>IFERROR(_xlfn.XLOOKUP($A231,'Raw Data'!$G:$G,'Raw Data'!AD:AD),"")</f>
        <v/>
      </c>
      <c r="L231" s="104" t="str">
        <f>IFERROR(_xlfn.XLOOKUP($A231,'Raw Data'!$G:$G,'Raw Data'!AE:AE),"")</f>
        <v/>
      </c>
      <c r="M231" s="104" t="str">
        <f>IFERROR(_xlfn.XLOOKUP($A231,'Raw Data'!$G:$G,'Raw Data'!AF:AF),"")</f>
        <v/>
      </c>
      <c r="N231" s="104" t="str">
        <f>IFERROR(_xlfn.XLOOKUP($A231,'Raw Data'!$G:$G,'Raw Data'!AG:AG),"")</f>
        <v/>
      </c>
      <c r="O231" s="105" t="str">
        <f>IFERROR(1-SUMIF('Plant BD'!$B:$B,$A231,'Plant BD'!$AM:$AM)/($AA231+SUMIF('Plant BD'!$B:$B,$A231,'Plant BD'!$AM:$AM)),"")</f>
        <v/>
      </c>
      <c r="P231" s="105"/>
      <c r="Q231" s="106"/>
      <c r="R231" s="105" t="str">
        <f>IFERROR(1-SUMIF('Grid BD'!$B:$B,$A231,'Grid BD'!$AE:$AE)/($AA231+SUMIF('Grid BD'!$B:$B,$A231,'Grid BD'!$AE:$AE)),"")</f>
        <v/>
      </c>
      <c r="T231" s="106"/>
      <c r="U231" s="107" t="str">
        <f t="shared" si="13"/>
        <v/>
      </c>
      <c r="V231" s="107"/>
      <c r="W231" s="108" t="str">
        <f t="shared" si="14"/>
        <v/>
      </c>
      <c r="X231" s="101" t="str">
        <f>IFERROR(_xlfn.XLOOKUP($A231,'Raw Data'!$G:$G,'Raw Data'!AI:AI),"")</f>
        <v/>
      </c>
      <c r="Y231" s="101" t="str">
        <f>IFERROR(_xlfn.XLOOKUP($A231,'Raw Data'!$G:$G,'Raw Data'!AJ:AJ),"")</f>
        <v/>
      </c>
      <c r="Z231" s="101" t="str">
        <f>IFERROR(_xlfn.XLOOKUP($A231,'Raw Data'!$G:$G,'Raw Data'!AK:AK),"")</f>
        <v/>
      </c>
      <c r="AA231" s="101" t="str">
        <f>IFERROR(_xlfn.XLOOKUP($A231,'Raw Data'!$G:$G,'Raw Data'!$AL:$AL)*(1+(_xlfn.XLOOKUP(Table13[[#This Row],[Month Year]],JMR!$A:$A,JMR!$J:$J))),"")</f>
        <v/>
      </c>
      <c r="AB231" s="101" t="str">
        <f>IFERROR(_xlfn.XLOOKUP($A231,'Raw Data'!$G:$G,'Raw Data'!H:H),"")</f>
        <v/>
      </c>
      <c r="AC231" s="67">
        <f>IFERROR(_xlfn.XLOOKUP($D231,'Modelling New'!$D:$D,'Modelling New'!P:P),"")</f>
        <v>5.4333333333333336</v>
      </c>
      <c r="AD231" s="101">
        <f>IFERROR(_xlfn.XLOOKUP($D231,'Modelling New'!$D:$D,'Modelling New'!$T:$T)*1000,"")</f>
        <v>30935.368854830132</v>
      </c>
      <c r="AE231" s="109">
        <f>IFERROR(_xlfn.XLOOKUP($D231,'Modelling New'!$D:$D,'Modelling New'!O:O),"")</f>
        <v>0.70984879123298372</v>
      </c>
      <c r="AF231" s="108">
        <f>IFERROR(_xlfn.XLOOKUP($D231,'Modelling New'!$D:$D,'Modelling New'!W:W),"")</f>
        <v>0.160701879126356</v>
      </c>
      <c r="AG231" s="108">
        <f>IFERROR(_xlfn.XLOOKUP($D231,'Modelling New'!$D:$D,'Modelling New'!AE:AE),"")</f>
        <v>0.98040000000000005</v>
      </c>
      <c r="AH231" s="128">
        <f>IFERROR(_xlfn.XLOOKUP($D231,'Modelling New'!$D:$D,'Modelling New'!AF:AF),"")</f>
        <v>0.98</v>
      </c>
      <c r="AN231" s="105"/>
      <c r="AO231" s="108"/>
      <c r="AP231" s="108"/>
      <c r="AQ231" s="108"/>
      <c r="AR231" s="101">
        <f>'Basic Data'!$B$98/1000</f>
        <v>8.0208999999999993</v>
      </c>
      <c r="AT231" s="7" t="str">
        <f>IFERROR(_xlfn.XLOOKUP(Table13[[#This Row],[Date]],'Raw Data'!$G:$G,'Raw Data'!$AN:$AN),"")</f>
        <v/>
      </c>
      <c r="AU231" s="7">
        <f>IFERROR(_xlfn.XLOOKUP(Table13[[#This Row],[Month Year]],'Modelling New'!$D:$D,'Modelling New'!$AO:$AO),"")</f>
        <v>8</v>
      </c>
      <c r="AV231" s="7">
        <f>SUMIF('Curtailment Records'!$C:$C,Table13[[#This Row],[Date]],'Curtailment Records'!$R:$R)/1000</f>
        <v>0</v>
      </c>
    </row>
    <row r="232" spans="1:48" x14ac:dyDescent="0.3">
      <c r="A232" s="100">
        <f t="shared" si="15"/>
        <v>45975</v>
      </c>
      <c r="B232" s="101">
        <f>YEAR(Table13[[#This Row],[Date]])+IF(MONTH(Table13[[#This Row],[Date]])&gt;=4,1,0)</f>
        <v>2026</v>
      </c>
      <c r="C232" s="7">
        <f>YEAR(Table13[[#This Row],[Date]])</f>
        <v>2025</v>
      </c>
      <c r="D232" s="102">
        <f>Table13[[#This Row],[Date]]-DAY(Table13[[#This Row],[Date]])+1</f>
        <v>45962</v>
      </c>
      <c r="E232" s="7">
        <f t="shared" si="12"/>
        <v>30</v>
      </c>
      <c r="F232" s="103" t="str">
        <f>IFERROR(_xlfn.XLOOKUP($A232,'Raw Data'!$G:$G,'Raw Data'!$AM:$AM),"")</f>
        <v/>
      </c>
      <c r="G232" s="104" t="str">
        <f>IFERROR(_xlfn.XLOOKUP($A232,'Raw Data'!$G:$G,'Raw Data'!$AB:$AB),"")</f>
        <v/>
      </c>
      <c r="H232" s="104"/>
      <c r="I232" s="104" t="str">
        <f>IFERROR(_xlfn.XLOOKUP($A232,'Raw Data'!$G:$G,'Raw Data'!$AC:$AC),"")</f>
        <v/>
      </c>
      <c r="J232" s="104"/>
      <c r="K232" s="104" t="str">
        <f>IFERROR(_xlfn.XLOOKUP($A232,'Raw Data'!$G:$G,'Raw Data'!AD:AD),"")</f>
        <v/>
      </c>
      <c r="L232" s="104" t="str">
        <f>IFERROR(_xlfn.XLOOKUP($A232,'Raw Data'!$G:$G,'Raw Data'!AE:AE),"")</f>
        <v/>
      </c>
      <c r="M232" s="104" t="str">
        <f>IFERROR(_xlfn.XLOOKUP($A232,'Raw Data'!$G:$G,'Raw Data'!AF:AF),"")</f>
        <v/>
      </c>
      <c r="N232" s="104" t="str">
        <f>IFERROR(_xlfn.XLOOKUP($A232,'Raw Data'!$G:$G,'Raw Data'!AG:AG),"")</f>
        <v/>
      </c>
      <c r="O232" s="105" t="str">
        <f>IFERROR(1-SUMIF('Plant BD'!$B:$B,$A232,'Plant BD'!$AM:$AM)/($AA232+SUMIF('Plant BD'!$B:$B,$A232,'Plant BD'!$AM:$AM)),"")</f>
        <v/>
      </c>
      <c r="P232" s="105"/>
      <c r="Q232" s="106"/>
      <c r="R232" s="105" t="str">
        <f>IFERROR(1-SUMIF('Grid BD'!$B:$B,$A232,'Grid BD'!$AE:$AE)/($AA232+SUMIF('Grid BD'!$B:$B,$A232,'Grid BD'!$AE:$AE)),"")</f>
        <v/>
      </c>
      <c r="T232" s="106"/>
      <c r="U232" s="107" t="str">
        <f t="shared" si="13"/>
        <v/>
      </c>
      <c r="V232" s="107"/>
      <c r="W232" s="108" t="str">
        <f t="shared" si="14"/>
        <v/>
      </c>
      <c r="X232" s="101" t="str">
        <f>IFERROR(_xlfn.XLOOKUP($A232,'Raw Data'!$G:$G,'Raw Data'!AI:AI),"")</f>
        <v/>
      </c>
      <c r="Y232" s="101" t="str">
        <f>IFERROR(_xlfn.XLOOKUP($A232,'Raw Data'!$G:$G,'Raw Data'!AJ:AJ),"")</f>
        <v/>
      </c>
      <c r="Z232" s="101" t="str">
        <f>IFERROR(_xlfn.XLOOKUP($A232,'Raw Data'!$G:$G,'Raw Data'!AK:AK),"")</f>
        <v/>
      </c>
      <c r="AA232" s="101" t="str">
        <f>IFERROR(_xlfn.XLOOKUP($A232,'Raw Data'!$G:$G,'Raw Data'!$AL:$AL)*(1+(_xlfn.XLOOKUP(Table13[[#This Row],[Month Year]],JMR!$A:$A,JMR!$J:$J))),"")</f>
        <v/>
      </c>
      <c r="AB232" s="101" t="str">
        <f>IFERROR(_xlfn.XLOOKUP($A232,'Raw Data'!$G:$G,'Raw Data'!H:H),"")</f>
        <v/>
      </c>
      <c r="AC232" s="67">
        <f>IFERROR(_xlfn.XLOOKUP($D232,'Modelling New'!$D:$D,'Modelling New'!P:P),"")</f>
        <v>5.4333333333333336</v>
      </c>
      <c r="AD232" s="101">
        <f>IFERROR(_xlfn.XLOOKUP($D232,'Modelling New'!$D:$D,'Modelling New'!$T:$T)*1000,"")</f>
        <v>30935.368854830132</v>
      </c>
      <c r="AE232" s="109">
        <f>IFERROR(_xlfn.XLOOKUP($D232,'Modelling New'!$D:$D,'Modelling New'!O:O),"")</f>
        <v>0.70984879123298372</v>
      </c>
      <c r="AF232" s="108">
        <f>IFERROR(_xlfn.XLOOKUP($D232,'Modelling New'!$D:$D,'Modelling New'!W:W),"")</f>
        <v>0.160701879126356</v>
      </c>
      <c r="AG232" s="108">
        <f>IFERROR(_xlfn.XLOOKUP($D232,'Modelling New'!$D:$D,'Modelling New'!AE:AE),"")</f>
        <v>0.98040000000000005</v>
      </c>
      <c r="AH232" s="128">
        <f>IFERROR(_xlfn.XLOOKUP($D232,'Modelling New'!$D:$D,'Modelling New'!AF:AF),"")</f>
        <v>0.98</v>
      </c>
      <c r="AN232" s="105"/>
      <c r="AO232" s="108"/>
      <c r="AP232" s="108"/>
      <c r="AQ232" s="108"/>
      <c r="AR232" s="101">
        <f>'Basic Data'!$B$98/1000</f>
        <v>8.0208999999999993</v>
      </c>
      <c r="AT232" s="7" t="str">
        <f>IFERROR(_xlfn.XLOOKUP(Table13[[#This Row],[Date]],'Raw Data'!$G:$G,'Raw Data'!$AN:$AN),"")</f>
        <v/>
      </c>
      <c r="AU232" s="7">
        <f>IFERROR(_xlfn.XLOOKUP(Table13[[#This Row],[Month Year]],'Modelling New'!$D:$D,'Modelling New'!$AO:$AO),"")</f>
        <v>8</v>
      </c>
      <c r="AV232" s="7">
        <f>SUMIF('Curtailment Records'!$C:$C,Table13[[#This Row],[Date]],'Curtailment Records'!$R:$R)/1000</f>
        <v>0</v>
      </c>
    </row>
    <row r="233" spans="1:48" x14ac:dyDescent="0.3">
      <c r="A233" s="100">
        <f t="shared" si="15"/>
        <v>45976</v>
      </c>
      <c r="B233" s="101">
        <f>YEAR(Table13[[#This Row],[Date]])+IF(MONTH(Table13[[#This Row],[Date]])&gt;=4,1,0)</f>
        <v>2026</v>
      </c>
      <c r="C233" s="7">
        <f>YEAR(Table13[[#This Row],[Date]])</f>
        <v>2025</v>
      </c>
      <c r="D233" s="102">
        <f>Table13[[#This Row],[Date]]-DAY(Table13[[#This Row],[Date]])+1</f>
        <v>45962</v>
      </c>
      <c r="E233" s="7">
        <f t="shared" si="12"/>
        <v>30</v>
      </c>
      <c r="F233" s="103" t="str">
        <f>IFERROR(_xlfn.XLOOKUP($A233,'Raw Data'!$G:$G,'Raw Data'!$AM:$AM),"")</f>
        <v/>
      </c>
      <c r="G233" s="104" t="str">
        <f>IFERROR(_xlfn.XLOOKUP($A233,'Raw Data'!$G:$G,'Raw Data'!$AB:$AB),"")</f>
        <v/>
      </c>
      <c r="H233" s="104"/>
      <c r="I233" s="104" t="str">
        <f>IFERROR(_xlfn.XLOOKUP($A233,'Raw Data'!$G:$G,'Raw Data'!$AC:$AC),"")</f>
        <v/>
      </c>
      <c r="J233" s="104"/>
      <c r="K233" s="104" t="str">
        <f>IFERROR(_xlfn.XLOOKUP($A233,'Raw Data'!$G:$G,'Raw Data'!AD:AD),"")</f>
        <v/>
      </c>
      <c r="L233" s="104" t="str">
        <f>IFERROR(_xlfn.XLOOKUP($A233,'Raw Data'!$G:$G,'Raw Data'!AE:AE),"")</f>
        <v/>
      </c>
      <c r="M233" s="104" t="str">
        <f>IFERROR(_xlfn.XLOOKUP($A233,'Raw Data'!$G:$G,'Raw Data'!AF:AF),"")</f>
        <v/>
      </c>
      <c r="N233" s="104" t="str">
        <f>IFERROR(_xlfn.XLOOKUP($A233,'Raw Data'!$G:$G,'Raw Data'!AG:AG),"")</f>
        <v/>
      </c>
      <c r="O233" s="105" t="str">
        <f>IFERROR(1-SUMIF('Plant BD'!$B:$B,$A233,'Plant BD'!$AM:$AM)/($AA233+SUMIF('Plant BD'!$B:$B,$A233,'Plant BD'!$AM:$AM)),"")</f>
        <v/>
      </c>
      <c r="P233" s="105"/>
      <c r="Q233" s="106"/>
      <c r="R233" s="105" t="str">
        <f>IFERROR(1-SUMIF('Grid BD'!$B:$B,$A233,'Grid BD'!$AE:$AE)/($AA233+SUMIF('Grid BD'!$B:$B,$A233,'Grid BD'!$AE:$AE)),"")</f>
        <v/>
      </c>
      <c r="T233" s="106"/>
      <c r="U233" s="107" t="str">
        <f t="shared" si="13"/>
        <v/>
      </c>
      <c r="V233" s="107"/>
      <c r="W233" s="108" t="str">
        <f t="shared" si="14"/>
        <v/>
      </c>
      <c r="X233" s="101" t="str">
        <f>IFERROR(_xlfn.XLOOKUP($A233,'Raw Data'!$G:$G,'Raw Data'!AI:AI),"")</f>
        <v/>
      </c>
      <c r="Y233" s="101" t="str">
        <f>IFERROR(_xlfn.XLOOKUP($A233,'Raw Data'!$G:$G,'Raw Data'!AJ:AJ),"")</f>
        <v/>
      </c>
      <c r="Z233" s="101" t="str">
        <f>IFERROR(_xlfn.XLOOKUP($A233,'Raw Data'!$G:$G,'Raw Data'!AK:AK),"")</f>
        <v/>
      </c>
      <c r="AA233" s="101" t="str">
        <f>IFERROR(_xlfn.XLOOKUP($A233,'Raw Data'!$G:$G,'Raw Data'!$AL:$AL)*(1+(_xlfn.XLOOKUP(Table13[[#This Row],[Month Year]],JMR!$A:$A,JMR!$J:$J))),"")</f>
        <v/>
      </c>
      <c r="AB233" s="101" t="str">
        <f>IFERROR(_xlfn.XLOOKUP($A233,'Raw Data'!$G:$G,'Raw Data'!H:H),"")</f>
        <v/>
      </c>
      <c r="AC233" s="67">
        <f>IFERROR(_xlfn.XLOOKUP($D233,'Modelling New'!$D:$D,'Modelling New'!P:P),"")</f>
        <v>5.4333333333333336</v>
      </c>
      <c r="AD233" s="101">
        <f>IFERROR(_xlfn.XLOOKUP($D233,'Modelling New'!$D:$D,'Modelling New'!$T:$T)*1000,"")</f>
        <v>30935.368854830132</v>
      </c>
      <c r="AE233" s="109">
        <f>IFERROR(_xlfn.XLOOKUP($D233,'Modelling New'!$D:$D,'Modelling New'!O:O),"")</f>
        <v>0.70984879123298372</v>
      </c>
      <c r="AF233" s="108">
        <f>IFERROR(_xlfn.XLOOKUP($D233,'Modelling New'!$D:$D,'Modelling New'!W:W),"")</f>
        <v>0.160701879126356</v>
      </c>
      <c r="AG233" s="108">
        <f>IFERROR(_xlfn.XLOOKUP($D233,'Modelling New'!$D:$D,'Modelling New'!AE:AE),"")</f>
        <v>0.98040000000000005</v>
      </c>
      <c r="AH233" s="128">
        <f>IFERROR(_xlfn.XLOOKUP($D233,'Modelling New'!$D:$D,'Modelling New'!AF:AF),"")</f>
        <v>0.98</v>
      </c>
      <c r="AN233" s="105"/>
      <c r="AO233" s="108"/>
      <c r="AP233" s="108"/>
      <c r="AQ233" s="108"/>
      <c r="AR233" s="101">
        <f>'Basic Data'!$B$98/1000</f>
        <v>8.0208999999999993</v>
      </c>
      <c r="AT233" s="7" t="str">
        <f>IFERROR(_xlfn.XLOOKUP(Table13[[#This Row],[Date]],'Raw Data'!$G:$G,'Raw Data'!$AN:$AN),"")</f>
        <v/>
      </c>
      <c r="AU233" s="7">
        <f>IFERROR(_xlfn.XLOOKUP(Table13[[#This Row],[Month Year]],'Modelling New'!$D:$D,'Modelling New'!$AO:$AO),"")</f>
        <v>8</v>
      </c>
      <c r="AV233" s="7">
        <f>SUMIF('Curtailment Records'!$C:$C,Table13[[#This Row],[Date]],'Curtailment Records'!$R:$R)/1000</f>
        <v>0</v>
      </c>
    </row>
    <row r="234" spans="1:48" x14ac:dyDescent="0.3">
      <c r="A234" s="100">
        <f t="shared" si="15"/>
        <v>45977</v>
      </c>
      <c r="B234" s="101">
        <f>YEAR(Table13[[#This Row],[Date]])+IF(MONTH(Table13[[#This Row],[Date]])&gt;=4,1,0)</f>
        <v>2026</v>
      </c>
      <c r="C234" s="7">
        <f>YEAR(Table13[[#This Row],[Date]])</f>
        <v>2025</v>
      </c>
      <c r="D234" s="102">
        <f>Table13[[#This Row],[Date]]-DAY(Table13[[#This Row],[Date]])+1</f>
        <v>45962</v>
      </c>
      <c r="E234" s="7">
        <f t="shared" si="12"/>
        <v>30</v>
      </c>
      <c r="F234" s="103" t="str">
        <f>IFERROR(_xlfn.XLOOKUP($A234,'Raw Data'!$G:$G,'Raw Data'!$AM:$AM),"")</f>
        <v/>
      </c>
      <c r="G234" s="104" t="str">
        <f>IFERROR(_xlfn.XLOOKUP($A234,'Raw Data'!$G:$G,'Raw Data'!$AB:$AB),"")</f>
        <v/>
      </c>
      <c r="H234" s="104"/>
      <c r="I234" s="104" t="str">
        <f>IFERROR(_xlfn.XLOOKUP($A234,'Raw Data'!$G:$G,'Raw Data'!$AC:$AC),"")</f>
        <v/>
      </c>
      <c r="J234" s="104"/>
      <c r="K234" s="104" t="str">
        <f>IFERROR(_xlfn.XLOOKUP($A234,'Raw Data'!$G:$G,'Raw Data'!AD:AD),"")</f>
        <v/>
      </c>
      <c r="L234" s="104" t="str">
        <f>IFERROR(_xlfn.XLOOKUP($A234,'Raw Data'!$G:$G,'Raw Data'!AE:AE),"")</f>
        <v/>
      </c>
      <c r="M234" s="104" t="str">
        <f>IFERROR(_xlfn.XLOOKUP($A234,'Raw Data'!$G:$G,'Raw Data'!AF:AF),"")</f>
        <v/>
      </c>
      <c r="N234" s="104" t="str">
        <f>IFERROR(_xlfn.XLOOKUP($A234,'Raw Data'!$G:$G,'Raw Data'!AG:AG),"")</f>
        <v/>
      </c>
      <c r="O234" s="105" t="str">
        <f>IFERROR(1-SUMIF('Plant BD'!$B:$B,$A234,'Plant BD'!$AM:$AM)/($AA234+SUMIF('Plant BD'!$B:$B,$A234,'Plant BD'!$AM:$AM)),"")</f>
        <v/>
      </c>
      <c r="P234" s="105"/>
      <c r="Q234" s="106"/>
      <c r="R234" s="105" t="str">
        <f>IFERROR(1-SUMIF('Grid BD'!$B:$B,$A234,'Grid BD'!$AE:$AE)/($AA234+SUMIF('Grid BD'!$B:$B,$A234,'Grid BD'!$AE:$AE)),"")</f>
        <v/>
      </c>
      <c r="T234" s="106"/>
      <c r="U234" s="107" t="str">
        <f t="shared" si="13"/>
        <v/>
      </c>
      <c r="V234" s="107"/>
      <c r="W234" s="108" t="str">
        <f t="shared" si="14"/>
        <v/>
      </c>
      <c r="X234" s="101" t="str">
        <f>IFERROR(_xlfn.XLOOKUP($A234,'Raw Data'!$G:$G,'Raw Data'!AI:AI),"")</f>
        <v/>
      </c>
      <c r="Y234" s="101" t="str">
        <f>IFERROR(_xlfn.XLOOKUP($A234,'Raw Data'!$G:$G,'Raw Data'!AJ:AJ),"")</f>
        <v/>
      </c>
      <c r="Z234" s="101" t="str">
        <f>IFERROR(_xlfn.XLOOKUP($A234,'Raw Data'!$G:$G,'Raw Data'!AK:AK),"")</f>
        <v/>
      </c>
      <c r="AA234" s="101" t="str">
        <f>IFERROR(_xlfn.XLOOKUP($A234,'Raw Data'!$G:$G,'Raw Data'!$AL:$AL)*(1+(_xlfn.XLOOKUP(Table13[[#This Row],[Month Year]],JMR!$A:$A,JMR!$J:$J))),"")</f>
        <v/>
      </c>
      <c r="AB234" s="101" t="str">
        <f>IFERROR(_xlfn.XLOOKUP($A234,'Raw Data'!$G:$G,'Raw Data'!H:H),"")</f>
        <v/>
      </c>
      <c r="AC234" s="67">
        <f>IFERROR(_xlfn.XLOOKUP($D234,'Modelling New'!$D:$D,'Modelling New'!P:P),"")</f>
        <v>5.4333333333333336</v>
      </c>
      <c r="AD234" s="101">
        <f>IFERROR(_xlfn.XLOOKUP($D234,'Modelling New'!$D:$D,'Modelling New'!$T:$T)*1000,"")</f>
        <v>30935.368854830132</v>
      </c>
      <c r="AE234" s="109">
        <f>IFERROR(_xlfn.XLOOKUP($D234,'Modelling New'!$D:$D,'Modelling New'!O:O),"")</f>
        <v>0.70984879123298372</v>
      </c>
      <c r="AF234" s="108">
        <f>IFERROR(_xlfn.XLOOKUP($D234,'Modelling New'!$D:$D,'Modelling New'!W:W),"")</f>
        <v>0.160701879126356</v>
      </c>
      <c r="AG234" s="108">
        <f>IFERROR(_xlfn.XLOOKUP($D234,'Modelling New'!$D:$D,'Modelling New'!AE:AE),"")</f>
        <v>0.98040000000000005</v>
      </c>
      <c r="AH234" s="128">
        <f>IFERROR(_xlfn.XLOOKUP($D234,'Modelling New'!$D:$D,'Modelling New'!AF:AF),"")</f>
        <v>0.98</v>
      </c>
      <c r="AN234" s="105"/>
      <c r="AO234" s="108"/>
      <c r="AP234" s="108"/>
      <c r="AQ234" s="108"/>
      <c r="AR234" s="101">
        <f>'Basic Data'!$B$98/1000</f>
        <v>8.0208999999999993</v>
      </c>
      <c r="AT234" s="7" t="str">
        <f>IFERROR(_xlfn.XLOOKUP(Table13[[#This Row],[Date]],'Raw Data'!$G:$G,'Raw Data'!$AN:$AN),"")</f>
        <v/>
      </c>
      <c r="AU234" s="7">
        <f>IFERROR(_xlfn.XLOOKUP(Table13[[#This Row],[Month Year]],'Modelling New'!$D:$D,'Modelling New'!$AO:$AO),"")</f>
        <v>8</v>
      </c>
      <c r="AV234" s="7">
        <f>SUMIF('Curtailment Records'!$C:$C,Table13[[#This Row],[Date]],'Curtailment Records'!$R:$R)/1000</f>
        <v>0</v>
      </c>
    </row>
    <row r="235" spans="1:48" x14ac:dyDescent="0.3">
      <c r="A235" s="100">
        <f t="shared" si="15"/>
        <v>45978</v>
      </c>
      <c r="B235" s="101">
        <f>YEAR(Table13[[#This Row],[Date]])+IF(MONTH(Table13[[#This Row],[Date]])&gt;=4,1,0)</f>
        <v>2026</v>
      </c>
      <c r="C235" s="7">
        <f>YEAR(Table13[[#This Row],[Date]])</f>
        <v>2025</v>
      </c>
      <c r="D235" s="102">
        <f>Table13[[#This Row],[Date]]-DAY(Table13[[#This Row],[Date]])+1</f>
        <v>45962</v>
      </c>
      <c r="E235" s="7">
        <f t="shared" si="12"/>
        <v>30</v>
      </c>
      <c r="F235" s="103" t="str">
        <f>IFERROR(_xlfn.XLOOKUP($A235,'Raw Data'!$G:$G,'Raw Data'!$AM:$AM),"")</f>
        <v/>
      </c>
      <c r="G235" s="104" t="str">
        <f>IFERROR(_xlfn.XLOOKUP($A235,'Raw Data'!$G:$G,'Raw Data'!$AB:$AB),"")</f>
        <v/>
      </c>
      <c r="H235" s="104"/>
      <c r="I235" s="104" t="str">
        <f>IFERROR(_xlfn.XLOOKUP($A235,'Raw Data'!$G:$G,'Raw Data'!$AC:$AC),"")</f>
        <v/>
      </c>
      <c r="J235" s="104"/>
      <c r="K235" s="104" t="str">
        <f>IFERROR(_xlfn.XLOOKUP($A235,'Raw Data'!$G:$G,'Raw Data'!AD:AD),"")</f>
        <v/>
      </c>
      <c r="L235" s="104" t="str">
        <f>IFERROR(_xlfn.XLOOKUP($A235,'Raw Data'!$G:$G,'Raw Data'!AE:AE),"")</f>
        <v/>
      </c>
      <c r="M235" s="104" t="str">
        <f>IFERROR(_xlfn.XLOOKUP($A235,'Raw Data'!$G:$G,'Raw Data'!AF:AF),"")</f>
        <v/>
      </c>
      <c r="N235" s="104" t="str">
        <f>IFERROR(_xlfn.XLOOKUP($A235,'Raw Data'!$G:$G,'Raw Data'!AG:AG),"")</f>
        <v/>
      </c>
      <c r="O235" s="105" t="str">
        <f>IFERROR(1-SUMIF('Plant BD'!$B:$B,$A235,'Plant BD'!$AM:$AM)/($AA235+SUMIF('Plant BD'!$B:$B,$A235,'Plant BD'!$AM:$AM)),"")</f>
        <v/>
      </c>
      <c r="P235" s="105"/>
      <c r="Q235" s="106"/>
      <c r="R235" s="105" t="str">
        <f>IFERROR(1-SUMIF('Grid BD'!$B:$B,$A235,'Grid BD'!$AE:$AE)/($AA235+SUMIF('Grid BD'!$B:$B,$A235,'Grid BD'!$AE:$AE)),"")</f>
        <v/>
      </c>
      <c r="T235" s="106"/>
      <c r="U235" s="107" t="str">
        <f t="shared" si="13"/>
        <v/>
      </c>
      <c r="V235" s="107"/>
      <c r="W235" s="108" t="str">
        <f t="shared" si="14"/>
        <v/>
      </c>
      <c r="X235" s="101" t="str">
        <f>IFERROR(_xlfn.XLOOKUP($A235,'Raw Data'!$G:$G,'Raw Data'!AI:AI),"")</f>
        <v/>
      </c>
      <c r="Y235" s="101" t="str">
        <f>IFERROR(_xlfn.XLOOKUP($A235,'Raw Data'!$G:$G,'Raw Data'!AJ:AJ),"")</f>
        <v/>
      </c>
      <c r="Z235" s="101" t="str">
        <f>IFERROR(_xlfn.XLOOKUP($A235,'Raw Data'!$G:$G,'Raw Data'!AK:AK),"")</f>
        <v/>
      </c>
      <c r="AA235" s="101" t="str">
        <f>IFERROR(_xlfn.XLOOKUP($A235,'Raw Data'!$G:$G,'Raw Data'!$AL:$AL)*(1+(_xlfn.XLOOKUP(Table13[[#This Row],[Month Year]],JMR!$A:$A,JMR!$J:$J))),"")</f>
        <v/>
      </c>
      <c r="AB235" s="101" t="str">
        <f>IFERROR(_xlfn.XLOOKUP($A235,'Raw Data'!$G:$G,'Raw Data'!H:H),"")</f>
        <v/>
      </c>
      <c r="AC235" s="67">
        <f>IFERROR(_xlfn.XLOOKUP($D235,'Modelling New'!$D:$D,'Modelling New'!P:P),"")</f>
        <v>5.4333333333333336</v>
      </c>
      <c r="AD235" s="101">
        <f>IFERROR(_xlfn.XLOOKUP($D235,'Modelling New'!$D:$D,'Modelling New'!$T:$T)*1000,"")</f>
        <v>30935.368854830132</v>
      </c>
      <c r="AE235" s="109">
        <f>IFERROR(_xlfn.XLOOKUP($D235,'Modelling New'!$D:$D,'Modelling New'!O:O),"")</f>
        <v>0.70984879123298372</v>
      </c>
      <c r="AF235" s="108">
        <f>IFERROR(_xlfn.XLOOKUP($D235,'Modelling New'!$D:$D,'Modelling New'!W:W),"")</f>
        <v>0.160701879126356</v>
      </c>
      <c r="AG235" s="108">
        <f>IFERROR(_xlfn.XLOOKUP($D235,'Modelling New'!$D:$D,'Modelling New'!AE:AE),"")</f>
        <v>0.98040000000000005</v>
      </c>
      <c r="AH235" s="128">
        <f>IFERROR(_xlfn.XLOOKUP($D235,'Modelling New'!$D:$D,'Modelling New'!AF:AF),"")</f>
        <v>0.98</v>
      </c>
      <c r="AN235" s="105"/>
      <c r="AO235" s="108"/>
      <c r="AP235" s="108"/>
      <c r="AQ235" s="108"/>
      <c r="AR235" s="101">
        <f>'Basic Data'!$B$98/1000</f>
        <v>8.0208999999999993</v>
      </c>
      <c r="AT235" s="7" t="str">
        <f>IFERROR(_xlfn.XLOOKUP(Table13[[#This Row],[Date]],'Raw Data'!$G:$G,'Raw Data'!$AN:$AN),"")</f>
        <v/>
      </c>
      <c r="AU235" s="7">
        <f>IFERROR(_xlfn.XLOOKUP(Table13[[#This Row],[Month Year]],'Modelling New'!$D:$D,'Modelling New'!$AO:$AO),"")</f>
        <v>8</v>
      </c>
      <c r="AV235" s="7">
        <f>SUMIF('Curtailment Records'!$C:$C,Table13[[#This Row],[Date]],'Curtailment Records'!$R:$R)/1000</f>
        <v>0</v>
      </c>
    </row>
    <row r="236" spans="1:48" x14ac:dyDescent="0.3">
      <c r="A236" s="100">
        <f t="shared" si="15"/>
        <v>45979</v>
      </c>
      <c r="B236" s="101">
        <f>YEAR(Table13[[#This Row],[Date]])+IF(MONTH(Table13[[#This Row],[Date]])&gt;=4,1,0)</f>
        <v>2026</v>
      </c>
      <c r="C236" s="7">
        <f>YEAR(Table13[[#This Row],[Date]])</f>
        <v>2025</v>
      </c>
      <c r="D236" s="102">
        <f>Table13[[#This Row],[Date]]-DAY(Table13[[#This Row],[Date]])+1</f>
        <v>45962</v>
      </c>
      <c r="E236" s="7">
        <f t="shared" si="12"/>
        <v>30</v>
      </c>
      <c r="F236" s="103" t="str">
        <f>IFERROR(_xlfn.XLOOKUP($A236,'Raw Data'!$G:$G,'Raw Data'!$AM:$AM),"")</f>
        <v/>
      </c>
      <c r="G236" s="104" t="str">
        <f>IFERROR(_xlfn.XLOOKUP($A236,'Raw Data'!$G:$G,'Raw Data'!$AB:$AB),"")</f>
        <v/>
      </c>
      <c r="H236" s="104"/>
      <c r="I236" s="104" t="str">
        <f>IFERROR(_xlfn.XLOOKUP($A236,'Raw Data'!$G:$G,'Raw Data'!$AC:$AC),"")</f>
        <v/>
      </c>
      <c r="J236" s="104"/>
      <c r="K236" s="104" t="str">
        <f>IFERROR(_xlfn.XLOOKUP($A236,'Raw Data'!$G:$G,'Raw Data'!AD:AD),"")</f>
        <v/>
      </c>
      <c r="L236" s="104" t="str">
        <f>IFERROR(_xlfn.XLOOKUP($A236,'Raw Data'!$G:$G,'Raw Data'!AE:AE),"")</f>
        <v/>
      </c>
      <c r="M236" s="104" t="str">
        <f>IFERROR(_xlfn.XLOOKUP($A236,'Raw Data'!$G:$G,'Raw Data'!AF:AF),"")</f>
        <v/>
      </c>
      <c r="N236" s="104" t="str">
        <f>IFERROR(_xlfn.XLOOKUP($A236,'Raw Data'!$G:$G,'Raw Data'!AG:AG),"")</f>
        <v/>
      </c>
      <c r="O236" s="105" t="str">
        <f>IFERROR(1-SUMIF('Plant BD'!$B:$B,$A236,'Plant BD'!$AM:$AM)/($AA236+SUMIF('Plant BD'!$B:$B,$A236,'Plant BD'!$AM:$AM)),"")</f>
        <v/>
      </c>
      <c r="P236" s="105"/>
      <c r="Q236" s="106"/>
      <c r="R236" s="105" t="str">
        <f>IFERROR(1-SUMIF('Grid BD'!$B:$B,$A236,'Grid BD'!$AE:$AE)/($AA236+SUMIF('Grid BD'!$B:$B,$A236,'Grid BD'!$AE:$AE)),"")</f>
        <v/>
      </c>
      <c r="T236" s="106"/>
      <c r="U236" s="107" t="str">
        <f t="shared" si="13"/>
        <v/>
      </c>
      <c r="V236" s="107"/>
      <c r="W236" s="108" t="str">
        <f t="shared" si="14"/>
        <v/>
      </c>
      <c r="X236" s="101" t="str">
        <f>IFERROR(_xlfn.XLOOKUP($A236,'Raw Data'!$G:$G,'Raw Data'!AI:AI),"")</f>
        <v/>
      </c>
      <c r="Y236" s="101" t="str">
        <f>IFERROR(_xlfn.XLOOKUP($A236,'Raw Data'!$G:$G,'Raw Data'!AJ:AJ),"")</f>
        <v/>
      </c>
      <c r="Z236" s="101" t="str">
        <f>IFERROR(_xlfn.XLOOKUP($A236,'Raw Data'!$G:$G,'Raw Data'!AK:AK),"")</f>
        <v/>
      </c>
      <c r="AA236" s="101" t="str">
        <f>IFERROR(_xlfn.XLOOKUP($A236,'Raw Data'!$G:$G,'Raw Data'!$AL:$AL)*(1+(_xlfn.XLOOKUP(Table13[[#This Row],[Month Year]],JMR!$A:$A,JMR!$J:$J))),"")</f>
        <v/>
      </c>
      <c r="AB236" s="101" t="str">
        <f>IFERROR(_xlfn.XLOOKUP($A236,'Raw Data'!$G:$G,'Raw Data'!H:H),"")</f>
        <v/>
      </c>
      <c r="AC236" s="67">
        <f>IFERROR(_xlfn.XLOOKUP($D236,'Modelling New'!$D:$D,'Modelling New'!P:P),"")</f>
        <v>5.4333333333333336</v>
      </c>
      <c r="AD236" s="101">
        <f>IFERROR(_xlfn.XLOOKUP($D236,'Modelling New'!$D:$D,'Modelling New'!$T:$T)*1000,"")</f>
        <v>30935.368854830132</v>
      </c>
      <c r="AE236" s="109">
        <f>IFERROR(_xlfn.XLOOKUP($D236,'Modelling New'!$D:$D,'Modelling New'!O:O),"")</f>
        <v>0.70984879123298372</v>
      </c>
      <c r="AF236" s="108">
        <f>IFERROR(_xlfn.XLOOKUP($D236,'Modelling New'!$D:$D,'Modelling New'!W:W),"")</f>
        <v>0.160701879126356</v>
      </c>
      <c r="AG236" s="108">
        <f>IFERROR(_xlfn.XLOOKUP($D236,'Modelling New'!$D:$D,'Modelling New'!AE:AE),"")</f>
        <v>0.98040000000000005</v>
      </c>
      <c r="AH236" s="128">
        <f>IFERROR(_xlfn.XLOOKUP($D236,'Modelling New'!$D:$D,'Modelling New'!AF:AF),"")</f>
        <v>0.98</v>
      </c>
      <c r="AN236" s="105"/>
      <c r="AO236" s="108"/>
      <c r="AP236" s="108"/>
      <c r="AQ236" s="108"/>
      <c r="AR236" s="101">
        <f>'Basic Data'!$B$98/1000</f>
        <v>8.0208999999999993</v>
      </c>
      <c r="AT236" s="7" t="str">
        <f>IFERROR(_xlfn.XLOOKUP(Table13[[#This Row],[Date]],'Raw Data'!$G:$G,'Raw Data'!$AN:$AN),"")</f>
        <v/>
      </c>
      <c r="AU236" s="7">
        <f>IFERROR(_xlfn.XLOOKUP(Table13[[#This Row],[Month Year]],'Modelling New'!$D:$D,'Modelling New'!$AO:$AO),"")</f>
        <v>8</v>
      </c>
      <c r="AV236" s="7">
        <f>SUMIF('Curtailment Records'!$C:$C,Table13[[#This Row],[Date]],'Curtailment Records'!$R:$R)/1000</f>
        <v>0</v>
      </c>
    </row>
    <row r="237" spans="1:48" x14ac:dyDescent="0.3">
      <c r="A237" s="100">
        <f t="shared" si="15"/>
        <v>45980</v>
      </c>
      <c r="B237" s="101">
        <f>YEAR(Table13[[#This Row],[Date]])+IF(MONTH(Table13[[#This Row],[Date]])&gt;=4,1,0)</f>
        <v>2026</v>
      </c>
      <c r="C237" s="7">
        <f>YEAR(Table13[[#This Row],[Date]])</f>
        <v>2025</v>
      </c>
      <c r="D237" s="102">
        <f>Table13[[#This Row],[Date]]-DAY(Table13[[#This Row],[Date]])+1</f>
        <v>45962</v>
      </c>
      <c r="E237" s="7">
        <f t="shared" si="12"/>
        <v>30</v>
      </c>
      <c r="F237" s="103" t="str">
        <f>IFERROR(_xlfn.XLOOKUP($A237,'Raw Data'!$G:$G,'Raw Data'!$AM:$AM),"")</f>
        <v/>
      </c>
      <c r="G237" s="104" t="str">
        <f>IFERROR(_xlfn.XLOOKUP($A237,'Raw Data'!$G:$G,'Raw Data'!$AB:$AB),"")</f>
        <v/>
      </c>
      <c r="H237" s="104"/>
      <c r="I237" s="104" t="str">
        <f>IFERROR(_xlfn.XLOOKUP($A237,'Raw Data'!$G:$G,'Raw Data'!$AC:$AC),"")</f>
        <v/>
      </c>
      <c r="J237" s="104"/>
      <c r="K237" s="104" t="str">
        <f>IFERROR(_xlfn.XLOOKUP($A237,'Raw Data'!$G:$G,'Raw Data'!AD:AD),"")</f>
        <v/>
      </c>
      <c r="L237" s="104" t="str">
        <f>IFERROR(_xlfn.XLOOKUP($A237,'Raw Data'!$G:$G,'Raw Data'!AE:AE),"")</f>
        <v/>
      </c>
      <c r="M237" s="104" t="str">
        <f>IFERROR(_xlfn.XLOOKUP($A237,'Raw Data'!$G:$G,'Raw Data'!AF:AF),"")</f>
        <v/>
      </c>
      <c r="N237" s="104" t="str">
        <f>IFERROR(_xlfn.XLOOKUP($A237,'Raw Data'!$G:$G,'Raw Data'!AG:AG),"")</f>
        <v/>
      </c>
      <c r="O237" s="105" t="str">
        <f>IFERROR(1-SUMIF('Plant BD'!$B:$B,$A237,'Plant BD'!$AM:$AM)/($AA237+SUMIF('Plant BD'!$B:$B,$A237,'Plant BD'!$AM:$AM)),"")</f>
        <v/>
      </c>
      <c r="P237" s="105"/>
      <c r="Q237" s="106"/>
      <c r="R237" s="105" t="str">
        <f>IFERROR(1-SUMIF('Grid BD'!$B:$B,$A237,'Grid BD'!$AE:$AE)/($AA237+SUMIF('Grid BD'!$B:$B,$A237,'Grid BD'!$AE:$AE)),"")</f>
        <v/>
      </c>
      <c r="T237" s="106"/>
      <c r="U237" s="107" t="str">
        <f t="shared" si="13"/>
        <v/>
      </c>
      <c r="V237" s="107"/>
      <c r="W237" s="108" t="str">
        <f t="shared" si="14"/>
        <v/>
      </c>
      <c r="X237" s="101" t="str">
        <f>IFERROR(_xlfn.XLOOKUP($A237,'Raw Data'!$G:$G,'Raw Data'!AI:AI),"")</f>
        <v/>
      </c>
      <c r="Y237" s="101" t="str">
        <f>IFERROR(_xlfn.XLOOKUP($A237,'Raw Data'!$G:$G,'Raw Data'!AJ:AJ),"")</f>
        <v/>
      </c>
      <c r="Z237" s="101" t="str">
        <f>IFERROR(_xlfn.XLOOKUP($A237,'Raw Data'!$G:$G,'Raw Data'!AK:AK),"")</f>
        <v/>
      </c>
      <c r="AA237" s="101" t="str">
        <f>IFERROR(_xlfn.XLOOKUP($A237,'Raw Data'!$G:$G,'Raw Data'!$AL:$AL)*(1+(_xlfn.XLOOKUP(Table13[[#This Row],[Month Year]],JMR!$A:$A,JMR!$J:$J))),"")</f>
        <v/>
      </c>
      <c r="AB237" s="101" t="str">
        <f>IFERROR(_xlfn.XLOOKUP($A237,'Raw Data'!$G:$G,'Raw Data'!H:H),"")</f>
        <v/>
      </c>
      <c r="AC237" s="67">
        <f>IFERROR(_xlfn.XLOOKUP($D237,'Modelling New'!$D:$D,'Modelling New'!P:P),"")</f>
        <v>5.4333333333333336</v>
      </c>
      <c r="AD237" s="101">
        <f>IFERROR(_xlfn.XLOOKUP($D237,'Modelling New'!$D:$D,'Modelling New'!$T:$T)*1000,"")</f>
        <v>30935.368854830132</v>
      </c>
      <c r="AE237" s="109">
        <f>IFERROR(_xlfn.XLOOKUP($D237,'Modelling New'!$D:$D,'Modelling New'!O:O),"")</f>
        <v>0.70984879123298372</v>
      </c>
      <c r="AF237" s="108">
        <f>IFERROR(_xlfn.XLOOKUP($D237,'Modelling New'!$D:$D,'Modelling New'!W:W),"")</f>
        <v>0.160701879126356</v>
      </c>
      <c r="AG237" s="108">
        <f>IFERROR(_xlfn.XLOOKUP($D237,'Modelling New'!$D:$D,'Modelling New'!AE:AE),"")</f>
        <v>0.98040000000000005</v>
      </c>
      <c r="AH237" s="128">
        <f>IFERROR(_xlfn.XLOOKUP($D237,'Modelling New'!$D:$D,'Modelling New'!AF:AF),"")</f>
        <v>0.98</v>
      </c>
      <c r="AN237" s="105"/>
      <c r="AO237" s="108"/>
      <c r="AP237" s="108"/>
      <c r="AQ237" s="108"/>
      <c r="AR237" s="101">
        <f>'Basic Data'!$B$98/1000</f>
        <v>8.0208999999999993</v>
      </c>
      <c r="AT237" s="7" t="str">
        <f>IFERROR(_xlfn.XLOOKUP(Table13[[#This Row],[Date]],'Raw Data'!$G:$G,'Raw Data'!$AN:$AN),"")</f>
        <v/>
      </c>
      <c r="AU237" s="7">
        <f>IFERROR(_xlfn.XLOOKUP(Table13[[#This Row],[Month Year]],'Modelling New'!$D:$D,'Modelling New'!$AO:$AO),"")</f>
        <v>8</v>
      </c>
      <c r="AV237" s="7">
        <f>SUMIF('Curtailment Records'!$C:$C,Table13[[#This Row],[Date]],'Curtailment Records'!$R:$R)/1000</f>
        <v>0</v>
      </c>
    </row>
    <row r="238" spans="1:48" x14ac:dyDescent="0.3">
      <c r="A238" s="100">
        <f t="shared" si="15"/>
        <v>45981</v>
      </c>
      <c r="B238" s="101">
        <f>YEAR(Table13[[#This Row],[Date]])+IF(MONTH(Table13[[#This Row],[Date]])&gt;=4,1,0)</f>
        <v>2026</v>
      </c>
      <c r="C238" s="7">
        <f>YEAR(Table13[[#This Row],[Date]])</f>
        <v>2025</v>
      </c>
      <c r="D238" s="102">
        <f>Table13[[#This Row],[Date]]-DAY(Table13[[#This Row],[Date]])+1</f>
        <v>45962</v>
      </c>
      <c r="E238" s="7">
        <f t="shared" si="12"/>
        <v>30</v>
      </c>
      <c r="F238" s="103" t="str">
        <f>IFERROR(_xlfn.XLOOKUP($A238,'Raw Data'!$G:$G,'Raw Data'!$AM:$AM),"")</f>
        <v/>
      </c>
      <c r="G238" s="104" t="str">
        <f>IFERROR(_xlfn.XLOOKUP($A238,'Raw Data'!$G:$G,'Raw Data'!$AB:$AB),"")</f>
        <v/>
      </c>
      <c r="H238" s="104"/>
      <c r="I238" s="104" t="str">
        <f>IFERROR(_xlfn.XLOOKUP($A238,'Raw Data'!$G:$G,'Raw Data'!$AC:$AC),"")</f>
        <v/>
      </c>
      <c r="J238" s="104"/>
      <c r="K238" s="104" t="str">
        <f>IFERROR(_xlfn.XLOOKUP($A238,'Raw Data'!$G:$G,'Raw Data'!AD:AD),"")</f>
        <v/>
      </c>
      <c r="L238" s="104" t="str">
        <f>IFERROR(_xlfn.XLOOKUP($A238,'Raw Data'!$G:$G,'Raw Data'!AE:AE),"")</f>
        <v/>
      </c>
      <c r="M238" s="104" t="str">
        <f>IFERROR(_xlfn.XLOOKUP($A238,'Raw Data'!$G:$G,'Raw Data'!AF:AF),"")</f>
        <v/>
      </c>
      <c r="N238" s="104" t="str">
        <f>IFERROR(_xlfn.XLOOKUP($A238,'Raw Data'!$G:$G,'Raw Data'!AG:AG),"")</f>
        <v/>
      </c>
      <c r="O238" s="105" t="str">
        <f>IFERROR(1-SUMIF('Plant BD'!$B:$B,$A238,'Plant BD'!$AM:$AM)/($AA238+SUMIF('Plant BD'!$B:$B,$A238,'Plant BD'!$AM:$AM)),"")</f>
        <v/>
      </c>
      <c r="P238" s="105"/>
      <c r="Q238" s="106"/>
      <c r="R238" s="105" t="str">
        <f>IFERROR(1-SUMIF('Grid BD'!$B:$B,$A238,'Grid BD'!$AE:$AE)/($AA238+SUMIF('Grid BD'!$B:$B,$A238,'Grid BD'!$AE:$AE)),"")</f>
        <v/>
      </c>
      <c r="T238" s="106"/>
      <c r="U238" s="107" t="str">
        <f t="shared" si="13"/>
        <v/>
      </c>
      <c r="V238" s="107"/>
      <c r="W238" s="108" t="str">
        <f t="shared" si="14"/>
        <v/>
      </c>
      <c r="X238" s="101" t="str">
        <f>IFERROR(_xlfn.XLOOKUP($A238,'Raw Data'!$G:$G,'Raw Data'!AI:AI),"")</f>
        <v/>
      </c>
      <c r="Y238" s="101" t="str">
        <f>IFERROR(_xlfn.XLOOKUP($A238,'Raw Data'!$G:$G,'Raw Data'!AJ:AJ),"")</f>
        <v/>
      </c>
      <c r="Z238" s="101" t="str">
        <f>IFERROR(_xlfn.XLOOKUP($A238,'Raw Data'!$G:$G,'Raw Data'!AK:AK),"")</f>
        <v/>
      </c>
      <c r="AA238" s="101" t="str">
        <f>IFERROR(_xlfn.XLOOKUP($A238,'Raw Data'!$G:$G,'Raw Data'!$AL:$AL)*(1+(_xlfn.XLOOKUP(Table13[[#This Row],[Month Year]],JMR!$A:$A,JMR!$J:$J))),"")</f>
        <v/>
      </c>
      <c r="AB238" s="101" t="str">
        <f>IFERROR(_xlfn.XLOOKUP($A238,'Raw Data'!$G:$G,'Raw Data'!H:H),"")</f>
        <v/>
      </c>
      <c r="AC238" s="67">
        <f>IFERROR(_xlfn.XLOOKUP($D238,'Modelling New'!$D:$D,'Modelling New'!P:P),"")</f>
        <v>5.4333333333333336</v>
      </c>
      <c r="AD238" s="101">
        <f>IFERROR(_xlfn.XLOOKUP($D238,'Modelling New'!$D:$D,'Modelling New'!$T:$T)*1000,"")</f>
        <v>30935.368854830132</v>
      </c>
      <c r="AE238" s="109">
        <f>IFERROR(_xlfn.XLOOKUP($D238,'Modelling New'!$D:$D,'Modelling New'!O:O),"")</f>
        <v>0.70984879123298372</v>
      </c>
      <c r="AF238" s="108">
        <f>IFERROR(_xlfn.XLOOKUP($D238,'Modelling New'!$D:$D,'Modelling New'!W:W),"")</f>
        <v>0.160701879126356</v>
      </c>
      <c r="AG238" s="108">
        <f>IFERROR(_xlfn.XLOOKUP($D238,'Modelling New'!$D:$D,'Modelling New'!AE:AE),"")</f>
        <v>0.98040000000000005</v>
      </c>
      <c r="AH238" s="128">
        <f>IFERROR(_xlfn.XLOOKUP($D238,'Modelling New'!$D:$D,'Modelling New'!AF:AF),"")</f>
        <v>0.98</v>
      </c>
      <c r="AN238" s="105"/>
      <c r="AO238" s="108"/>
      <c r="AP238" s="108"/>
      <c r="AQ238" s="108"/>
      <c r="AR238" s="101">
        <f>'Basic Data'!$B$98/1000</f>
        <v>8.0208999999999993</v>
      </c>
      <c r="AT238" s="7" t="str">
        <f>IFERROR(_xlfn.XLOOKUP(Table13[[#This Row],[Date]],'Raw Data'!$G:$G,'Raw Data'!$AN:$AN),"")</f>
        <v/>
      </c>
      <c r="AU238" s="7">
        <f>IFERROR(_xlfn.XLOOKUP(Table13[[#This Row],[Month Year]],'Modelling New'!$D:$D,'Modelling New'!$AO:$AO),"")</f>
        <v>8</v>
      </c>
      <c r="AV238" s="7">
        <f>SUMIF('Curtailment Records'!$C:$C,Table13[[#This Row],[Date]],'Curtailment Records'!$R:$R)/1000</f>
        <v>0</v>
      </c>
    </row>
    <row r="239" spans="1:48" x14ac:dyDescent="0.3">
      <c r="A239" s="100">
        <f t="shared" si="15"/>
        <v>45982</v>
      </c>
      <c r="B239" s="101">
        <f>YEAR(Table13[[#This Row],[Date]])+IF(MONTH(Table13[[#This Row],[Date]])&gt;=4,1,0)</f>
        <v>2026</v>
      </c>
      <c r="C239" s="7">
        <f>YEAR(Table13[[#This Row],[Date]])</f>
        <v>2025</v>
      </c>
      <c r="D239" s="102">
        <f>Table13[[#This Row],[Date]]-DAY(Table13[[#This Row],[Date]])+1</f>
        <v>45962</v>
      </c>
      <c r="E239" s="7">
        <f t="shared" si="12"/>
        <v>30</v>
      </c>
      <c r="F239" s="103" t="str">
        <f>IFERROR(_xlfn.XLOOKUP($A239,'Raw Data'!$G:$G,'Raw Data'!$AM:$AM),"")</f>
        <v/>
      </c>
      <c r="G239" s="104" t="str">
        <f>IFERROR(_xlfn.XLOOKUP($A239,'Raw Data'!$G:$G,'Raw Data'!$AB:$AB),"")</f>
        <v/>
      </c>
      <c r="H239" s="104"/>
      <c r="I239" s="104" t="str">
        <f>IFERROR(_xlfn.XLOOKUP($A239,'Raw Data'!$G:$G,'Raw Data'!$AC:$AC),"")</f>
        <v/>
      </c>
      <c r="J239" s="104"/>
      <c r="K239" s="104" t="str">
        <f>IFERROR(_xlfn.XLOOKUP($A239,'Raw Data'!$G:$G,'Raw Data'!AD:AD),"")</f>
        <v/>
      </c>
      <c r="L239" s="104" t="str">
        <f>IFERROR(_xlfn.XLOOKUP($A239,'Raw Data'!$G:$G,'Raw Data'!AE:AE),"")</f>
        <v/>
      </c>
      <c r="M239" s="104" t="str">
        <f>IFERROR(_xlfn.XLOOKUP($A239,'Raw Data'!$G:$G,'Raw Data'!AF:AF),"")</f>
        <v/>
      </c>
      <c r="N239" s="104" t="str">
        <f>IFERROR(_xlfn.XLOOKUP($A239,'Raw Data'!$G:$G,'Raw Data'!AG:AG),"")</f>
        <v/>
      </c>
      <c r="O239" s="105" t="str">
        <f>IFERROR(1-SUMIF('Plant BD'!$B:$B,$A239,'Plant BD'!$AM:$AM)/($AA239+SUMIF('Plant BD'!$B:$B,$A239,'Plant BD'!$AM:$AM)),"")</f>
        <v/>
      </c>
      <c r="P239" s="105"/>
      <c r="Q239" s="106"/>
      <c r="R239" s="105" t="str">
        <f>IFERROR(1-SUMIF('Grid BD'!$B:$B,$A239,'Grid BD'!$AE:$AE)/($AA239+SUMIF('Grid BD'!$B:$B,$A239,'Grid BD'!$AE:$AE)),"")</f>
        <v/>
      </c>
      <c r="T239" s="106"/>
      <c r="U239" s="107" t="str">
        <f t="shared" si="13"/>
        <v/>
      </c>
      <c r="V239" s="107"/>
      <c r="W239" s="108" t="str">
        <f t="shared" si="14"/>
        <v/>
      </c>
      <c r="X239" s="101" t="str">
        <f>IFERROR(_xlfn.XLOOKUP($A239,'Raw Data'!$G:$G,'Raw Data'!AI:AI),"")</f>
        <v/>
      </c>
      <c r="Y239" s="101" t="str">
        <f>IFERROR(_xlfn.XLOOKUP($A239,'Raw Data'!$G:$G,'Raw Data'!AJ:AJ),"")</f>
        <v/>
      </c>
      <c r="Z239" s="101" t="str">
        <f>IFERROR(_xlfn.XLOOKUP($A239,'Raw Data'!$G:$G,'Raw Data'!AK:AK),"")</f>
        <v/>
      </c>
      <c r="AA239" s="101" t="str">
        <f>IFERROR(_xlfn.XLOOKUP($A239,'Raw Data'!$G:$G,'Raw Data'!$AL:$AL)*(1+(_xlfn.XLOOKUP(Table13[[#This Row],[Month Year]],JMR!$A:$A,JMR!$J:$J))),"")</f>
        <v/>
      </c>
      <c r="AB239" s="101" t="str">
        <f>IFERROR(_xlfn.XLOOKUP($A239,'Raw Data'!$G:$G,'Raw Data'!H:H),"")</f>
        <v/>
      </c>
      <c r="AC239" s="67">
        <f>IFERROR(_xlfn.XLOOKUP($D239,'Modelling New'!$D:$D,'Modelling New'!P:P),"")</f>
        <v>5.4333333333333336</v>
      </c>
      <c r="AD239" s="101">
        <f>IFERROR(_xlfn.XLOOKUP($D239,'Modelling New'!$D:$D,'Modelling New'!$T:$T)*1000,"")</f>
        <v>30935.368854830132</v>
      </c>
      <c r="AE239" s="109">
        <f>IFERROR(_xlfn.XLOOKUP($D239,'Modelling New'!$D:$D,'Modelling New'!O:O),"")</f>
        <v>0.70984879123298372</v>
      </c>
      <c r="AF239" s="108">
        <f>IFERROR(_xlfn.XLOOKUP($D239,'Modelling New'!$D:$D,'Modelling New'!W:W),"")</f>
        <v>0.160701879126356</v>
      </c>
      <c r="AG239" s="108">
        <f>IFERROR(_xlfn.XLOOKUP($D239,'Modelling New'!$D:$D,'Modelling New'!AE:AE),"")</f>
        <v>0.98040000000000005</v>
      </c>
      <c r="AH239" s="128">
        <f>IFERROR(_xlfn.XLOOKUP($D239,'Modelling New'!$D:$D,'Modelling New'!AF:AF),"")</f>
        <v>0.98</v>
      </c>
      <c r="AN239" s="105"/>
      <c r="AO239" s="108"/>
      <c r="AP239" s="108"/>
      <c r="AQ239" s="108"/>
      <c r="AR239" s="101">
        <f>'Basic Data'!$B$98/1000</f>
        <v>8.0208999999999993</v>
      </c>
      <c r="AT239" s="7" t="str">
        <f>IFERROR(_xlfn.XLOOKUP(Table13[[#This Row],[Date]],'Raw Data'!$G:$G,'Raw Data'!$AN:$AN),"")</f>
        <v/>
      </c>
      <c r="AU239" s="7">
        <f>IFERROR(_xlfn.XLOOKUP(Table13[[#This Row],[Month Year]],'Modelling New'!$D:$D,'Modelling New'!$AO:$AO),"")</f>
        <v>8</v>
      </c>
      <c r="AV239" s="7">
        <f>SUMIF('Curtailment Records'!$C:$C,Table13[[#This Row],[Date]],'Curtailment Records'!$R:$R)/1000</f>
        <v>0</v>
      </c>
    </row>
    <row r="240" spans="1:48" x14ac:dyDescent="0.3">
      <c r="A240" s="100">
        <f t="shared" si="15"/>
        <v>45983</v>
      </c>
      <c r="B240" s="101">
        <f>YEAR(Table13[[#This Row],[Date]])+IF(MONTH(Table13[[#This Row],[Date]])&gt;=4,1,0)</f>
        <v>2026</v>
      </c>
      <c r="C240" s="7">
        <f>YEAR(Table13[[#This Row],[Date]])</f>
        <v>2025</v>
      </c>
      <c r="D240" s="102">
        <f>Table13[[#This Row],[Date]]-DAY(Table13[[#This Row],[Date]])+1</f>
        <v>45962</v>
      </c>
      <c r="E240" s="7">
        <f t="shared" si="12"/>
        <v>30</v>
      </c>
      <c r="F240" s="103" t="str">
        <f>IFERROR(_xlfn.XLOOKUP($A240,'Raw Data'!$G:$G,'Raw Data'!$AM:$AM),"")</f>
        <v/>
      </c>
      <c r="G240" s="104" t="str">
        <f>IFERROR(_xlfn.XLOOKUP($A240,'Raw Data'!$G:$G,'Raw Data'!$AB:$AB),"")</f>
        <v/>
      </c>
      <c r="H240" s="104"/>
      <c r="I240" s="104" t="str">
        <f>IFERROR(_xlfn.XLOOKUP($A240,'Raw Data'!$G:$G,'Raw Data'!$AC:$AC),"")</f>
        <v/>
      </c>
      <c r="J240" s="104"/>
      <c r="K240" s="104" t="str">
        <f>IFERROR(_xlfn.XLOOKUP($A240,'Raw Data'!$G:$G,'Raw Data'!AD:AD),"")</f>
        <v/>
      </c>
      <c r="L240" s="104" t="str">
        <f>IFERROR(_xlfn.XLOOKUP($A240,'Raw Data'!$G:$G,'Raw Data'!AE:AE),"")</f>
        <v/>
      </c>
      <c r="M240" s="104" t="str">
        <f>IFERROR(_xlfn.XLOOKUP($A240,'Raw Data'!$G:$G,'Raw Data'!AF:AF),"")</f>
        <v/>
      </c>
      <c r="N240" s="104" t="str">
        <f>IFERROR(_xlfn.XLOOKUP($A240,'Raw Data'!$G:$G,'Raw Data'!AG:AG),"")</f>
        <v/>
      </c>
      <c r="O240" s="105" t="str">
        <f>IFERROR(1-SUMIF('Plant BD'!$B:$B,$A240,'Plant BD'!$AM:$AM)/($AA240+SUMIF('Plant BD'!$B:$B,$A240,'Plant BD'!$AM:$AM)),"")</f>
        <v/>
      </c>
      <c r="P240" s="105"/>
      <c r="Q240" s="106"/>
      <c r="R240" s="105" t="str">
        <f>IFERROR(1-SUMIF('Grid BD'!$B:$B,$A240,'Grid BD'!$AE:$AE)/($AA240+SUMIF('Grid BD'!$B:$B,$A240,'Grid BD'!$AE:$AE)),"")</f>
        <v/>
      </c>
      <c r="T240" s="106"/>
      <c r="U240" s="107" t="str">
        <f t="shared" si="13"/>
        <v/>
      </c>
      <c r="V240" s="107"/>
      <c r="W240" s="108" t="str">
        <f t="shared" si="14"/>
        <v/>
      </c>
      <c r="X240" s="101" t="str">
        <f>IFERROR(_xlfn.XLOOKUP($A240,'Raw Data'!$G:$G,'Raw Data'!AI:AI),"")</f>
        <v/>
      </c>
      <c r="Y240" s="101" t="str">
        <f>IFERROR(_xlfn.XLOOKUP($A240,'Raw Data'!$G:$G,'Raw Data'!AJ:AJ),"")</f>
        <v/>
      </c>
      <c r="Z240" s="101" t="str">
        <f>IFERROR(_xlfn.XLOOKUP($A240,'Raw Data'!$G:$G,'Raw Data'!AK:AK),"")</f>
        <v/>
      </c>
      <c r="AA240" s="101" t="str">
        <f>IFERROR(_xlfn.XLOOKUP($A240,'Raw Data'!$G:$G,'Raw Data'!$AL:$AL)*(1+(_xlfn.XLOOKUP(Table13[[#This Row],[Month Year]],JMR!$A:$A,JMR!$J:$J))),"")</f>
        <v/>
      </c>
      <c r="AB240" s="101" t="str">
        <f>IFERROR(_xlfn.XLOOKUP($A240,'Raw Data'!$G:$G,'Raw Data'!H:H),"")</f>
        <v/>
      </c>
      <c r="AC240" s="67">
        <f>IFERROR(_xlfn.XLOOKUP($D240,'Modelling New'!$D:$D,'Modelling New'!P:P),"")</f>
        <v>5.4333333333333336</v>
      </c>
      <c r="AD240" s="101">
        <f>IFERROR(_xlfn.XLOOKUP($D240,'Modelling New'!$D:$D,'Modelling New'!$T:$T)*1000,"")</f>
        <v>30935.368854830132</v>
      </c>
      <c r="AE240" s="109">
        <f>IFERROR(_xlfn.XLOOKUP($D240,'Modelling New'!$D:$D,'Modelling New'!O:O),"")</f>
        <v>0.70984879123298372</v>
      </c>
      <c r="AF240" s="108">
        <f>IFERROR(_xlfn.XLOOKUP($D240,'Modelling New'!$D:$D,'Modelling New'!W:W),"")</f>
        <v>0.160701879126356</v>
      </c>
      <c r="AG240" s="108">
        <f>IFERROR(_xlfn.XLOOKUP($D240,'Modelling New'!$D:$D,'Modelling New'!AE:AE),"")</f>
        <v>0.98040000000000005</v>
      </c>
      <c r="AH240" s="128">
        <f>IFERROR(_xlfn.XLOOKUP($D240,'Modelling New'!$D:$D,'Modelling New'!AF:AF),"")</f>
        <v>0.98</v>
      </c>
      <c r="AN240" s="105"/>
      <c r="AO240" s="108"/>
      <c r="AP240" s="108"/>
      <c r="AQ240" s="108"/>
      <c r="AR240" s="101">
        <f>'Basic Data'!$B$98/1000</f>
        <v>8.0208999999999993</v>
      </c>
      <c r="AT240" s="7" t="str">
        <f>IFERROR(_xlfn.XLOOKUP(Table13[[#This Row],[Date]],'Raw Data'!$G:$G,'Raw Data'!$AN:$AN),"")</f>
        <v/>
      </c>
      <c r="AU240" s="7">
        <f>IFERROR(_xlfn.XLOOKUP(Table13[[#This Row],[Month Year]],'Modelling New'!$D:$D,'Modelling New'!$AO:$AO),"")</f>
        <v>8</v>
      </c>
      <c r="AV240" s="7">
        <f>SUMIF('Curtailment Records'!$C:$C,Table13[[#This Row],[Date]],'Curtailment Records'!$R:$R)/1000</f>
        <v>0</v>
      </c>
    </row>
    <row r="241" spans="1:48" x14ac:dyDescent="0.3">
      <c r="A241" s="100">
        <f t="shared" si="15"/>
        <v>45984</v>
      </c>
      <c r="B241" s="101">
        <f>YEAR(Table13[[#This Row],[Date]])+IF(MONTH(Table13[[#This Row],[Date]])&gt;=4,1,0)</f>
        <v>2026</v>
      </c>
      <c r="C241" s="7">
        <f>YEAR(Table13[[#This Row],[Date]])</f>
        <v>2025</v>
      </c>
      <c r="D241" s="102">
        <f>Table13[[#This Row],[Date]]-DAY(Table13[[#This Row],[Date]])+1</f>
        <v>45962</v>
      </c>
      <c r="E241" s="7">
        <f t="shared" si="12"/>
        <v>30</v>
      </c>
      <c r="F241" s="103" t="str">
        <f>IFERROR(_xlfn.XLOOKUP($A241,'Raw Data'!$G:$G,'Raw Data'!$AM:$AM),"")</f>
        <v/>
      </c>
      <c r="G241" s="104" t="str">
        <f>IFERROR(_xlfn.XLOOKUP($A241,'Raw Data'!$G:$G,'Raw Data'!$AB:$AB),"")</f>
        <v/>
      </c>
      <c r="H241" s="104"/>
      <c r="I241" s="104" t="str">
        <f>IFERROR(_xlfn.XLOOKUP($A241,'Raw Data'!$G:$G,'Raw Data'!$AC:$AC),"")</f>
        <v/>
      </c>
      <c r="J241" s="104"/>
      <c r="K241" s="104" t="str">
        <f>IFERROR(_xlfn.XLOOKUP($A241,'Raw Data'!$G:$G,'Raw Data'!AD:AD),"")</f>
        <v/>
      </c>
      <c r="L241" s="104" t="str">
        <f>IFERROR(_xlfn.XLOOKUP($A241,'Raw Data'!$G:$G,'Raw Data'!AE:AE),"")</f>
        <v/>
      </c>
      <c r="M241" s="104" t="str">
        <f>IFERROR(_xlfn.XLOOKUP($A241,'Raw Data'!$G:$G,'Raw Data'!AF:AF),"")</f>
        <v/>
      </c>
      <c r="N241" s="104" t="str">
        <f>IFERROR(_xlfn.XLOOKUP($A241,'Raw Data'!$G:$G,'Raw Data'!AG:AG),"")</f>
        <v/>
      </c>
      <c r="O241" s="105" t="str">
        <f>IFERROR(1-SUMIF('Plant BD'!$B:$B,$A241,'Plant BD'!$AM:$AM)/($AA241+SUMIF('Plant BD'!$B:$B,$A241,'Plant BD'!$AM:$AM)),"")</f>
        <v/>
      </c>
      <c r="P241" s="105"/>
      <c r="Q241" s="106"/>
      <c r="R241" s="105" t="str">
        <f>IFERROR(1-SUMIF('Grid BD'!$B:$B,$A241,'Grid BD'!$AE:$AE)/($AA241+SUMIF('Grid BD'!$B:$B,$A241,'Grid BD'!$AE:$AE)),"")</f>
        <v/>
      </c>
      <c r="T241" s="106"/>
      <c r="U241" s="107" t="str">
        <f t="shared" si="13"/>
        <v/>
      </c>
      <c r="V241" s="107"/>
      <c r="W241" s="108" t="str">
        <f t="shared" si="14"/>
        <v/>
      </c>
      <c r="X241" s="101" t="str">
        <f>IFERROR(_xlfn.XLOOKUP($A241,'Raw Data'!$G:$G,'Raw Data'!AI:AI),"")</f>
        <v/>
      </c>
      <c r="Y241" s="101" t="str">
        <f>IFERROR(_xlfn.XLOOKUP($A241,'Raw Data'!$G:$G,'Raw Data'!AJ:AJ),"")</f>
        <v/>
      </c>
      <c r="Z241" s="101" t="str">
        <f>IFERROR(_xlfn.XLOOKUP($A241,'Raw Data'!$G:$G,'Raw Data'!AK:AK),"")</f>
        <v/>
      </c>
      <c r="AA241" s="101" t="str">
        <f>IFERROR(_xlfn.XLOOKUP($A241,'Raw Data'!$G:$G,'Raw Data'!$AL:$AL)*(1+(_xlfn.XLOOKUP(Table13[[#This Row],[Month Year]],JMR!$A:$A,JMR!$J:$J))),"")</f>
        <v/>
      </c>
      <c r="AB241" s="101" t="str">
        <f>IFERROR(_xlfn.XLOOKUP($A241,'Raw Data'!$G:$G,'Raw Data'!H:H),"")</f>
        <v/>
      </c>
      <c r="AC241" s="67">
        <f>IFERROR(_xlfn.XLOOKUP($D241,'Modelling New'!$D:$D,'Modelling New'!P:P),"")</f>
        <v>5.4333333333333336</v>
      </c>
      <c r="AD241" s="101">
        <f>IFERROR(_xlfn.XLOOKUP($D241,'Modelling New'!$D:$D,'Modelling New'!$T:$T)*1000,"")</f>
        <v>30935.368854830132</v>
      </c>
      <c r="AE241" s="109">
        <f>IFERROR(_xlfn.XLOOKUP($D241,'Modelling New'!$D:$D,'Modelling New'!O:O),"")</f>
        <v>0.70984879123298372</v>
      </c>
      <c r="AF241" s="108">
        <f>IFERROR(_xlfn.XLOOKUP($D241,'Modelling New'!$D:$D,'Modelling New'!W:W),"")</f>
        <v>0.160701879126356</v>
      </c>
      <c r="AG241" s="108">
        <f>IFERROR(_xlfn.XLOOKUP($D241,'Modelling New'!$D:$D,'Modelling New'!AE:AE),"")</f>
        <v>0.98040000000000005</v>
      </c>
      <c r="AH241" s="128">
        <f>IFERROR(_xlfn.XLOOKUP($D241,'Modelling New'!$D:$D,'Modelling New'!AF:AF),"")</f>
        <v>0.98</v>
      </c>
      <c r="AN241" s="105"/>
      <c r="AO241" s="108"/>
      <c r="AP241" s="108"/>
      <c r="AQ241" s="108"/>
      <c r="AR241" s="101">
        <f>'Basic Data'!$B$98/1000</f>
        <v>8.0208999999999993</v>
      </c>
      <c r="AT241" s="7" t="str">
        <f>IFERROR(_xlfn.XLOOKUP(Table13[[#This Row],[Date]],'Raw Data'!$G:$G,'Raw Data'!$AN:$AN),"")</f>
        <v/>
      </c>
      <c r="AU241" s="7">
        <f>IFERROR(_xlfn.XLOOKUP(Table13[[#This Row],[Month Year]],'Modelling New'!$D:$D,'Modelling New'!$AO:$AO),"")</f>
        <v>8</v>
      </c>
      <c r="AV241" s="7">
        <f>SUMIF('Curtailment Records'!$C:$C,Table13[[#This Row],[Date]],'Curtailment Records'!$R:$R)/1000</f>
        <v>0</v>
      </c>
    </row>
    <row r="242" spans="1:48" x14ac:dyDescent="0.3">
      <c r="A242" s="100">
        <f t="shared" si="15"/>
        <v>45985</v>
      </c>
      <c r="B242" s="101">
        <f>YEAR(Table13[[#This Row],[Date]])+IF(MONTH(Table13[[#This Row],[Date]])&gt;=4,1,0)</f>
        <v>2026</v>
      </c>
      <c r="C242" s="7">
        <f>YEAR(Table13[[#This Row],[Date]])</f>
        <v>2025</v>
      </c>
      <c r="D242" s="102">
        <f>Table13[[#This Row],[Date]]-DAY(Table13[[#This Row],[Date]])+1</f>
        <v>45962</v>
      </c>
      <c r="E242" s="7">
        <f t="shared" si="12"/>
        <v>30</v>
      </c>
      <c r="F242" s="103" t="str">
        <f>IFERROR(_xlfn.XLOOKUP($A242,'Raw Data'!$G:$G,'Raw Data'!$AM:$AM),"")</f>
        <v/>
      </c>
      <c r="G242" s="104" t="str">
        <f>IFERROR(_xlfn.XLOOKUP($A242,'Raw Data'!$G:$G,'Raw Data'!$AB:$AB),"")</f>
        <v/>
      </c>
      <c r="H242" s="104"/>
      <c r="I242" s="104" t="str">
        <f>IFERROR(_xlfn.XLOOKUP($A242,'Raw Data'!$G:$G,'Raw Data'!$AC:$AC),"")</f>
        <v/>
      </c>
      <c r="J242" s="104"/>
      <c r="K242" s="104" t="str">
        <f>IFERROR(_xlfn.XLOOKUP($A242,'Raw Data'!$G:$G,'Raw Data'!AD:AD),"")</f>
        <v/>
      </c>
      <c r="L242" s="104" t="str">
        <f>IFERROR(_xlfn.XLOOKUP($A242,'Raw Data'!$G:$G,'Raw Data'!AE:AE),"")</f>
        <v/>
      </c>
      <c r="M242" s="104" t="str">
        <f>IFERROR(_xlfn.XLOOKUP($A242,'Raw Data'!$G:$G,'Raw Data'!AF:AF),"")</f>
        <v/>
      </c>
      <c r="N242" s="104" t="str">
        <f>IFERROR(_xlfn.XLOOKUP($A242,'Raw Data'!$G:$G,'Raw Data'!AG:AG),"")</f>
        <v/>
      </c>
      <c r="O242" s="105" t="str">
        <f>IFERROR(1-SUMIF('Plant BD'!$B:$B,$A242,'Plant BD'!$AM:$AM)/($AA242+SUMIF('Plant BD'!$B:$B,$A242,'Plant BD'!$AM:$AM)),"")</f>
        <v/>
      </c>
      <c r="P242" s="105"/>
      <c r="Q242" s="106"/>
      <c r="R242" s="105" t="str">
        <f>IFERROR(1-SUMIF('Grid BD'!$B:$B,$A242,'Grid BD'!$AE:$AE)/($AA242+SUMIF('Grid BD'!$B:$B,$A242,'Grid BD'!$AE:$AE)),"")</f>
        <v/>
      </c>
      <c r="T242" s="106"/>
      <c r="U242" s="107" t="str">
        <f t="shared" si="13"/>
        <v/>
      </c>
      <c r="V242" s="107"/>
      <c r="W242" s="108" t="str">
        <f t="shared" si="14"/>
        <v/>
      </c>
      <c r="X242" s="101" t="str">
        <f>IFERROR(_xlfn.XLOOKUP($A242,'Raw Data'!$G:$G,'Raw Data'!AI:AI),"")</f>
        <v/>
      </c>
      <c r="Y242" s="101" t="str">
        <f>IFERROR(_xlfn.XLOOKUP($A242,'Raw Data'!$G:$G,'Raw Data'!AJ:AJ),"")</f>
        <v/>
      </c>
      <c r="Z242" s="101" t="str">
        <f>IFERROR(_xlfn.XLOOKUP($A242,'Raw Data'!$G:$G,'Raw Data'!AK:AK),"")</f>
        <v/>
      </c>
      <c r="AA242" s="101" t="str">
        <f>IFERROR(_xlfn.XLOOKUP($A242,'Raw Data'!$G:$G,'Raw Data'!$AL:$AL)*(1+(_xlfn.XLOOKUP(Table13[[#This Row],[Month Year]],JMR!$A:$A,JMR!$J:$J))),"")</f>
        <v/>
      </c>
      <c r="AB242" s="101" t="str">
        <f>IFERROR(_xlfn.XLOOKUP($A242,'Raw Data'!$G:$G,'Raw Data'!H:H),"")</f>
        <v/>
      </c>
      <c r="AC242" s="67">
        <f>IFERROR(_xlfn.XLOOKUP($D242,'Modelling New'!$D:$D,'Modelling New'!P:P),"")</f>
        <v>5.4333333333333336</v>
      </c>
      <c r="AD242" s="101">
        <f>IFERROR(_xlfn.XLOOKUP($D242,'Modelling New'!$D:$D,'Modelling New'!$T:$T)*1000,"")</f>
        <v>30935.368854830132</v>
      </c>
      <c r="AE242" s="109">
        <f>IFERROR(_xlfn.XLOOKUP($D242,'Modelling New'!$D:$D,'Modelling New'!O:O),"")</f>
        <v>0.70984879123298372</v>
      </c>
      <c r="AF242" s="108">
        <f>IFERROR(_xlfn.XLOOKUP($D242,'Modelling New'!$D:$D,'Modelling New'!W:W),"")</f>
        <v>0.160701879126356</v>
      </c>
      <c r="AG242" s="108">
        <f>IFERROR(_xlfn.XLOOKUP($D242,'Modelling New'!$D:$D,'Modelling New'!AE:AE),"")</f>
        <v>0.98040000000000005</v>
      </c>
      <c r="AH242" s="128">
        <f>IFERROR(_xlfn.XLOOKUP($D242,'Modelling New'!$D:$D,'Modelling New'!AF:AF),"")</f>
        <v>0.98</v>
      </c>
      <c r="AN242" s="105"/>
      <c r="AO242" s="108"/>
      <c r="AP242" s="108"/>
      <c r="AQ242" s="108"/>
      <c r="AR242" s="101">
        <f>'Basic Data'!$B$98/1000</f>
        <v>8.0208999999999993</v>
      </c>
      <c r="AT242" s="7" t="str">
        <f>IFERROR(_xlfn.XLOOKUP(Table13[[#This Row],[Date]],'Raw Data'!$G:$G,'Raw Data'!$AN:$AN),"")</f>
        <v/>
      </c>
      <c r="AU242" s="7">
        <f>IFERROR(_xlfn.XLOOKUP(Table13[[#This Row],[Month Year]],'Modelling New'!$D:$D,'Modelling New'!$AO:$AO),"")</f>
        <v>8</v>
      </c>
      <c r="AV242" s="7">
        <f>SUMIF('Curtailment Records'!$C:$C,Table13[[#This Row],[Date]],'Curtailment Records'!$R:$R)/1000</f>
        <v>0</v>
      </c>
    </row>
    <row r="243" spans="1:48" x14ac:dyDescent="0.3">
      <c r="A243" s="100">
        <f t="shared" si="15"/>
        <v>45986</v>
      </c>
      <c r="B243" s="101">
        <f>YEAR(Table13[[#This Row],[Date]])+IF(MONTH(Table13[[#This Row],[Date]])&gt;=4,1,0)</f>
        <v>2026</v>
      </c>
      <c r="C243" s="7">
        <f>YEAR(Table13[[#This Row],[Date]])</f>
        <v>2025</v>
      </c>
      <c r="D243" s="102">
        <f>Table13[[#This Row],[Date]]-DAY(Table13[[#This Row],[Date]])+1</f>
        <v>45962</v>
      </c>
      <c r="E243" s="7">
        <f t="shared" si="12"/>
        <v>30</v>
      </c>
      <c r="F243" s="103" t="str">
        <f>IFERROR(_xlfn.XLOOKUP($A243,'Raw Data'!$G:$G,'Raw Data'!$AM:$AM),"")</f>
        <v/>
      </c>
      <c r="G243" s="104" t="str">
        <f>IFERROR(_xlfn.XLOOKUP($A243,'Raw Data'!$G:$G,'Raw Data'!$AB:$AB),"")</f>
        <v/>
      </c>
      <c r="H243" s="104"/>
      <c r="I243" s="104" t="str">
        <f>IFERROR(_xlfn.XLOOKUP($A243,'Raw Data'!$G:$G,'Raw Data'!$AC:$AC),"")</f>
        <v/>
      </c>
      <c r="J243" s="104"/>
      <c r="K243" s="104" t="str">
        <f>IFERROR(_xlfn.XLOOKUP($A243,'Raw Data'!$G:$G,'Raw Data'!AD:AD),"")</f>
        <v/>
      </c>
      <c r="L243" s="104" t="str">
        <f>IFERROR(_xlfn.XLOOKUP($A243,'Raw Data'!$G:$G,'Raw Data'!AE:AE),"")</f>
        <v/>
      </c>
      <c r="M243" s="104" t="str">
        <f>IFERROR(_xlfn.XLOOKUP($A243,'Raw Data'!$G:$G,'Raw Data'!AF:AF),"")</f>
        <v/>
      </c>
      <c r="N243" s="104" t="str">
        <f>IFERROR(_xlfn.XLOOKUP($A243,'Raw Data'!$G:$G,'Raw Data'!AG:AG),"")</f>
        <v/>
      </c>
      <c r="O243" s="105" t="str">
        <f>IFERROR(1-SUMIF('Plant BD'!$B:$B,$A243,'Plant BD'!$AM:$AM)/($AA243+SUMIF('Plant BD'!$B:$B,$A243,'Plant BD'!$AM:$AM)),"")</f>
        <v/>
      </c>
      <c r="P243" s="105"/>
      <c r="Q243" s="106"/>
      <c r="R243" s="105" t="str">
        <f>IFERROR(1-SUMIF('Grid BD'!$B:$B,$A243,'Grid BD'!$AE:$AE)/($AA243+SUMIF('Grid BD'!$B:$B,$A243,'Grid BD'!$AE:$AE)),"")</f>
        <v/>
      </c>
      <c r="T243" s="106"/>
      <c r="U243" s="107" t="str">
        <f t="shared" si="13"/>
        <v/>
      </c>
      <c r="V243" s="107"/>
      <c r="W243" s="108" t="str">
        <f t="shared" si="14"/>
        <v/>
      </c>
      <c r="X243" s="101" t="str">
        <f>IFERROR(_xlfn.XLOOKUP($A243,'Raw Data'!$G:$G,'Raw Data'!AI:AI),"")</f>
        <v/>
      </c>
      <c r="Y243" s="101" t="str">
        <f>IFERROR(_xlfn.XLOOKUP($A243,'Raw Data'!$G:$G,'Raw Data'!AJ:AJ),"")</f>
        <v/>
      </c>
      <c r="Z243" s="101" t="str">
        <f>IFERROR(_xlfn.XLOOKUP($A243,'Raw Data'!$G:$G,'Raw Data'!AK:AK),"")</f>
        <v/>
      </c>
      <c r="AA243" s="101" t="str">
        <f>IFERROR(_xlfn.XLOOKUP($A243,'Raw Data'!$G:$G,'Raw Data'!$AL:$AL)*(1+(_xlfn.XLOOKUP(Table13[[#This Row],[Month Year]],JMR!$A:$A,JMR!$J:$J))),"")</f>
        <v/>
      </c>
      <c r="AB243" s="101" t="str">
        <f>IFERROR(_xlfn.XLOOKUP($A243,'Raw Data'!$G:$G,'Raw Data'!H:H),"")</f>
        <v/>
      </c>
      <c r="AC243" s="67">
        <f>IFERROR(_xlfn.XLOOKUP($D243,'Modelling New'!$D:$D,'Modelling New'!P:P),"")</f>
        <v>5.4333333333333336</v>
      </c>
      <c r="AD243" s="101">
        <f>IFERROR(_xlfn.XLOOKUP($D243,'Modelling New'!$D:$D,'Modelling New'!$T:$T)*1000,"")</f>
        <v>30935.368854830132</v>
      </c>
      <c r="AE243" s="109">
        <f>IFERROR(_xlfn.XLOOKUP($D243,'Modelling New'!$D:$D,'Modelling New'!O:O),"")</f>
        <v>0.70984879123298372</v>
      </c>
      <c r="AF243" s="108">
        <f>IFERROR(_xlfn.XLOOKUP($D243,'Modelling New'!$D:$D,'Modelling New'!W:W),"")</f>
        <v>0.160701879126356</v>
      </c>
      <c r="AG243" s="108">
        <f>IFERROR(_xlfn.XLOOKUP($D243,'Modelling New'!$D:$D,'Modelling New'!AE:AE),"")</f>
        <v>0.98040000000000005</v>
      </c>
      <c r="AH243" s="128">
        <f>IFERROR(_xlfn.XLOOKUP($D243,'Modelling New'!$D:$D,'Modelling New'!AF:AF),"")</f>
        <v>0.98</v>
      </c>
      <c r="AN243" s="105"/>
      <c r="AO243" s="108"/>
      <c r="AP243" s="108"/>
      <c r="AQ243" s="108"/>
      <c r="AR243" s="101">
        <f>'Basic Data'!$B$98/1000</f>
        <v>8.0208999999999993</v>
      </c>
      <c r="AT243" s="7" t="str">
        <f>IFERROR(_xlfn.XLOOKUP(Table13[[#This Row],[Date]],'Raw Data'!$G:$G,'Raw Data'!$AN:$AN),"")</f>
        <v/>
      </c>
      <c r="AU243" s="7">
        <f>IFERROR(_xlfn.XLOOKUP(Table13[[#This Row],[Month Year]],'Modelling New'!$D:$D,'Modelling New'!$AO:$AO),"")</f>
        <v>8</v>
      </c>
      <c r="AV243" s="7">
        <f>SUMIF('Curtailment Records'!$C:$C,Table13[[#This Row],[Date]],'Curtailment Records'!$R:$R)/1000</f>
        <v>0</v>
      </c>
    </row>
    <row r="244" spans="1:48" x14ac:dyDescent="0.3">
      <c r="A244" s="100">
        <f t="shared" si="15"/>
        <v>45987</v>
      </c>
      <c r="B244" s="101">
        <f>YEAR(Table13[[#This Row],[Date]])+IF(MONTH(Table13[[#This Row],[Date]])&gt;=4,1,0)</f>
        <v>2026</v>
      </c>
      <c r="C244" s="7">
        <f>YEAR(Table13[[#This Row],[Date]])</f>
        <v>2025</v>
      </c>
      <c r="D244" s="102">
        <f>Table13[[#This Row],[Date]]-DAY(Table13[[#This Row],[Date]])+1</f>
        <v>45962</v>
      </c>
      <c r="E244" s="7">
        <f t="shared" si="12"/>
        <v>30</v>
      </c>
      <c r="F244" s="103" t="str">
        <f>IFERROR(_xlfn.XLOOKUP($A244,'Raw Data'!$G:$G,'Raw Data'!$AM:$AM),"")</f>
        <v/>
      </c>
      <c r="G244" s="104" t="str">
        <f>IFERROR(_xlfn.XLOOKUP($A244,'Raw Data'!$G:$G,'Raw Data'!$AB:$AB),"")</f>
        <v/>
      </c>
      <c r="H244" s="104"/>
      <c r="I244" s="104" t="str">
        <f>IFERROR(_xlfn.XLOOKUP($A244,'Raw Data'!$G:$G,'Raw Data'!$AC:$AC),"")</f>
        <v/>
      </c>
      <c r="J244" s="104"/>
      <c r="K244" s="104" t="str">
        <f>IFERROR(_xlfn.XLOOKUP($A244,'Raw Data'!$G:$G,'Raw Data'!AD:AD),"")</f>
        <v/>
      </c>
      <c r="L244" s="104" t="str">
        <f>IFERROR(_xlfn.XLOOKUP($A244,'Raw Data'!$G:$G,'Raw Data'!AE:AE),"")</f>
        <v/>
      </c>
      <c r="M244" s="104" t="str">
        <f>IFERROR(_xlfn.XLOOKUP($A244,'Raw Data'!$G:$G,'Raw Data'!AF:AF),"")</f>
        <v/>
      </c>
      <c r="N244" s="104" t="str">
        <f>IFERROR(_xlfn.XLOOKUP($A244,'Raw Data'!$G:$G,'Raw Data'!AG:AG),"")</f>
        <v/>
      </c>
      <c r="O244" s="105" t="str">
        <f>IFERROR(1-SUMIF('Plant BD'!$B:$B,$A244,'Plant BD'!$AM:$AM)/($AA244+SUMIF('Plant BD'!$B:$B,$A244,'Plant BD'!$AM:$AM)),"")</f>
        <v/>
      </c>
      <c r="P244" s="105"/>
      <c r="Q244" s="106"/>
      <c r="R244" s="105" t="str">
        <f>IFERROR(1-SUMIF('Grid BD'!$B:$B,$A244,'Grid BD'!$AE:$AE)/($AA244+SUMIF('Grid BD'!$B:$B,$A244,'Grid BD'!$AE:$AE)),"")</f>
        <v/>
      </c>
      <c r="T244" s="106"/>
      <c r="U244" s="107" t="str">
        <f t="shared" si="13"/>
        <v/>
      </c>
      <c r="V244" s="107"/>
      <c r="W244" s="108" t="str">
        <f t="shared" si="14"/>
        <v/>
      </c>
      <c r="X244" s="101" t="str">
        <f>IFERROR(_xlfn.XLOOKUP($A244,'Raw Data'!$G:$G,'Raw Data'!AI:AI),"")</f>
        <v/>
      </c>
      <c r="Y244" s="101" t="str">
        <f>IFERROR(_xlfn.XLOOKUP($A244,'Raw Data'!$G:$G,'Raw Data'!AJ:AJ),"")</f>
        <v/>
      </c>
      <c r="Z244" s="101" t="str">
        <f>IFERROR(_xlfn.XLOOKUP($A244,'Raw Data'!$G:$G,'Raw Data'!AK:AK),"")</f>
        <v/>
      </c>
      <c r="AA244" s="101" t="str">
        <f>IFERROR(_xlfn.XLOOKUP($A244,'Raw Data'!$G:$G,'Raw Data'!$AL:$AL)*(1+(_xlfn.XLOOKUP(Table13[[#This Row],[Month Year]],JMR!$A:$A,JMR!$J:$J))),"")</f>
        <v/>
      </c>
      <c r="AB244" s="101" t="str">
        <f>IFERROR(_xlfn.XLOOKUP($A244,'Raw Data'!$G:$G,'Raw Data'!H:H),"")</f>
        <v/>
      </c>
      <c r="AC244" s="67">
        <f>IFERROR(_xlfn.XLOOKUP($D244,'Modelling New'!$D:$D,'Modelling New'!P:P),"")</f>
        <v>5.4333333333333336</v>
      </c>
      <c r="AD244" s="101">
        <f>IFERROR(_xlfn.XLOOKUP($D244,'Modelling New'!$D:$D,'Modelling New'!$T:$T)*1000,"")</f>
        <v>30935.368854830132</v>
      </c>
      <c r="AE244" s="109">
        <f>IFERROR(_xlfn.XLOOKUP($D244,'Modelling New'!$D:$D,'Modelling New'!O:O),"")</f>
        <v>0.70984879123298372</v>
      </c>
      <c r="AF244" s="108">
        <f>IFERROR(_xlfn.XLOOKUP($D244,'Modelling New'!$D:$D,'Modelling New'!W:W),"")</f>
        <v>0.160701879126356</v>
      </c>
      <c r="AG244" s="108">
        <f>IFERROR(_xlfn.XLOOKUP($D244,'Modelling New'!$D:$D,'Modelling New'!AE:AE),"")</f>
        <v>0.98040000000000005</v>
      </c>
      <c r="AH244" s="128">
        <f>IFERROR(_xlfn.XLOOKUP($D244,'Modelling New'!$D:$D,'Modelling New'!AF:AF),"")</f>
        <v>0.98</v>
      </c>
      <c r="AN244" s="105"/>
      <c r="AO244" s="108"/>
      <c r="AP244" s="108"/>
      <c r="AQ244" s="108"/>
      <c r="AR244" s="101">
        <f>'Basic Data'!$B$98/1000</f>
        <v>8.0208999999999993</v>
      </c>
      <c r="AT244" s="7" t="str">
        <f>IFERROR(_xlfn.XLOOKUP(Table13[[#This Row],[Date]],'Raw Data'!$G:$G,'Raw Data'!$AN:$AN),"")</f>
        <v/>
      </c>
      <c r="AU244" s="7">
        <f>IFERROR(_xlfn.XLOOKUP(Table13[[#This Row],[Month Year]],'Modelling New'!$D:$D,'Modelling New'!$AO:$AO),"")</f>
        <v>8</v>
      </c>
      <c r="AV244" s="7">
        <f>SUMIF('Curtailment Records'!$C:$C,Table13[[#This Row],[Date]],'Curtailment Records'!$R:$R)/1000</f>
        <v>0</v>
      </c>
    </row>
    <row r="245" spans="1:48" x14ac:dyDescent="0.3">
      <c r="A245" s="100">
        <f t="shared" si="15"/>
        <v>45988</v>
      </c>
      <c r="B245" s="101">
        <f>YEAR(Table13[[#This Row],[Date]])+IF(MONTH(Table13[[#This Row],[Date]])&gt;=4,1,0)</f>
        <v>2026</v>
      </c>
      <c r="C245" s="7">
        <f>YEAR(Table13[[#This Row],[Date]])</f>
        <v>2025</v>
      </c>
      <c r="D245" s="102">
        <f>Table13[[#This Row],[Date]]-DAY(Table13[[#This Row],[Date]])+1</f>
        <v>45962</v>
      </c>
      <c r="E245" s="7">
        <f t="shared" ref="E245:E308" si="16">DAY(EOMONTH(A245,0))</f>
        <v>30</v>
      </c>
      <c r="F245" s="103" t="str">
        <f>IFERROR(_xlfn.XLOOKUP($A245,'Raw Data'!$G:$G,'Raw Data'!$AM:$AM),"")</f>
        <v/>
      </c>
      <c r="G245" s="104" t="str">
        <f>IFERROR(_xlfn.XLOOKUP($A245,'Raw Data'!$G:$G,'Raw Data'!$AB:$AB),"")</f>
        <v/>
      </c>
      <c r="H245" s="104"/>
      <c r="I245" s="104" t="str">
        <f>IFERROR(_xlfn.XLOOKUP($A245,'Raw Data'!$G:$G,'Raw Data'!$AC:$AC),"")</f>
        <v/>
      </c>
      <c r="J245" s="104"/>
      <c r="K245" s="104" t="str">
        <f>IFERROR(_xlfn.XLOOKUP($A245,'Raw Data'!$G:$G,'Raw Data'!AD:AD),"")</f>
        <v/>
      </c>
      <c r="L245" s="104" t="str">
        <f>IFERROR(_xlfn.XLOOKUP($A245,'Raw Data'!$G:$G,'Raw Data'!AE:AE),"")</f>
        <v/>
      </c>
      <c r="M245" s="104" t="str">
        <f>IFERROR(_xlfn.XLOOKUP($A245,'Raw Data'!$G:$G,'Raw Data'!AF:AF),"")</f>
        <v/>
      </c>
      <c r="N245" s="104" t="str">
        <f>IFERROR(_xlfn.XLOOKUP($A245,'Raw Data'!$G:$G,'Raw Data'!AG:AG),"")</f>
        <v/>
      </c>
      <c r="O245" s="105" t="str">
        <f>IFERROR(1-SUMIF('Plant BD'!$B:$B,$A245,'Plant BD'!$AM:$AM)/($AA245+SUMIF('Plant BD'!$B:$B,$A245,'Plant BD'!$AM:$AM)),"")</f>
        <v/>
      </c>
      <c r="P245" s="105"/>
      <c r="Q245" s="106"/>
      <c r="R245" s="105" t="str">
        <f>IFERROR(1-SUMIF('Grid BD'!$B:$B,$A245,'Grid BD'!$AE:$AE)/($AA245+SUMIF('Grid BD'!$B:$B,$A245,'Grid BD'!$AE:$AE)),"")</f>
        <v/>
      </c>
      <c r="T245" s="106"/>
      <c r="U245" s="107" t="str">
        <f t="shared" ref="U245:U308" si="17">IFERROR(AA245/I245/AB245/1000,"")</f>
        <v/>
      </c>
      <c r="V245" s="107"/>
      <c r="W245" s="108" t="str">
        <f t="shared" ref="W245:W308" si="18">IFERROR(AA245/(24*AB245*1000),"")</f>
        <v/>
      </c>
      <c r="X245" s="101" t="str">
        <f>IFERROR(_xlfn.XLOOKUP($A245,'Raw Data'!$G:$G,'Raw Data'!AI:AI),"")</f>
        <v/>
      </c>
      <c r="Y245" s="101" t="str">
        <f>IFERROR(_xlfn.XLOOKUP($A245,'Raw Data'!$G:$G,'Raw Data'!AJ:AJ),"")</f>
        <v/>
      </c>
      <c r="Z245" s="101" t="str">
        <f>IFERROR(_xlfn.XLOOKUP($A245,'Raw Data'!$G:$G,'Raw Data'!AK:AK),"")</f>
        <v/>
      </c>
      <c r="AA245" s="101" t="str">
        <f>IFERROR(_xlfn.XLOOKUP($A245,'Raw Data'!$G:$G,'Raw Data'!$AL:$AL)*(1+(_xlfn.XLOOKUP(Table13[[#This Row],[Month Year]],JMR!$A:$A,JMR!$J:$J))),"")</f>
        <v/>
      </c>
      <c r="AB245" s="101" t="str">
        <f>IFERROR(_xlfn.XLOOKUP($A245,'Raw Data'!$G:$G,'Raw Data'!H:H),"")</f>
        <v/>
      </c>
      <c r="AC245" s="67">
        <f>IFERROR(_xlfn.XLOOKUP($D245,'Modelling New'!$D:$D,'Modelling New'!P:P),"")</f>
        <v>5.4333333333333336</v>
      </c>
      <c r="AD245" s="101">
        <f>IFERROR(_xlfn.XLOOKUP($D245,'Modelling New'!$D:$D,'Modelling New'!$T:$T)*1000,"")</f>
        <v>30935.368854830132</v>
      </c>
      <c r="AE245" s="109">
        <f>IFERROR(_xlfn.XLOOKUP($D245,'Modelling New'!$D:$D,'Modelling New'!O:O),"")</f>
        <v>0.70984879123298372</v>
      </c>
      <c r="AF245" s="108">
        <f>IFERROR(_xlfn.XLOOKUP($D245,'Modelling New'!$D:$D,'Modelling New'!W:W),"")</f>
        <v>0.160701879126356</v>
      </c>
      <c r="AG245" s="108">
        <f>IFERROR(_xlfn.XLOOKUP($D245,'Modelling New'!$D:$D,'Modelling New'!AE:AE),"")</f>
        <v>0.98040000000000005</v>
      </c>
      <c r="AH245" s="128">
        <f>IFERROR(_xlfn.XLOOKUP($D245,'Modelling New'!$D:$D,'Modelling New'!AF:AF),"")</f>
        <v>0.98</v>
      </c>
      <c r="AN245" s="105"/>
      <c r="AO245" s="108"/>
      <c r="AP245" s="108"/>
      <c r="AQ245" s="108"/>
      <c r="AR245" s="101">
        <f>'Basic Data'!$B$98/1000</f>
        <v>8.0208999999999993</v>
      </c>
      <c r="AT245" s="7" t="str">
        <f>IFERROR(_xlfn.XLOOKUP(Table13[[#This Row],[Date]],'Raw Data'!$G:$G,'Raw Data'!$AN:$AN),"")</f>
        <v/>
      </c>
      <c r="AU245" s="7">
        <f>IFERROR(_xlfn.XLOOKUP(Table13[[#This Row],[Month Year]],'Modelling New'!$D:$D,'Modelling New'!$AO:$AO),"")</f>
        <v>8</v>
      </c>
      <c r="AV245" s="7">
        <f>SUMIF('Curtailment Records'!$C:$C,Table13[[#This Row],[Date]],'Curtailment Records'!$R:$R)/1000</f>
        <v>0</v>
      </c>
    </row>
    <row r="246" spans="1:48" x14ac:dyDescent="0.3">
      <c r="A246" s="100">
        <f t="shared" ref="A246:A309" si="19">A245+1</f>
        <v>45989</v>
      </c>
      <c r="B246" s="101">
        <f>YEAR(Table13[[#This Row],[Date]])+IF(MONTH(Table13[[#This Row],[Date]])&gt;=4,1,0)</f>
        <v>2026</v>
      </c>
      <c r="C246" s="7">
        <f>YEAR(Table13[[#This Row],[Date]])</f>
        <v>2025</v>
      </c>
      <c r="D246" s="102">
        <f>Table13[[#This Row],[Date]]-DAY(Table13[[#This Row],[Date]])+1</f>
        <v>45962</v>
      </c>
      <c r="E246" s="7">
        <f t="shared" si="16"/>
        <v>30</v>
      </c>
      <c r="F246" s="103" t="str">
        <f>IFERROR(_xlfn.XLOOKUP($A246,'Raw Data'!$G:$G,'Raw Data'!$AM:$AM),"")</f>
        <v/>
      </c>
      <c r="G246" s="104" t="str">
        <f>IFERROR(_xlfn.XLOOKUP($A246,'Raw Data'!$G:$G,'Raw Data'!$AB:$AB),"")</f>
        <v/>
      </c>
      <c r="H246" s="104"/>
      <c r="I246" s="104" t="str">
        <f>IFERROR(_xlfn.XLOOKUP($A246,'Raw Data'!$G:$G,'Raw Data'!$AC:$AC),"")</f>
        <v/>
      </c>
      <c r="J246" s="104"/>
      <c r="K246" s="104" t="str">
        <f>IFERROR(_xlfn.XLOOKUP($A246,'Raw Data'!$G:$G,'Raw Data'!AD:AD),"")</f>
        <v/>
      </c>
      <c r="L246" s="104" t="str">
        <f>IFERROR(_xlfn.XLOOKUP($A246,'Raw Data'!$G:$G,'Raw Data'!AE:AE),"")</f>
        <v/>
      </c>
      <c r="M246" s="104" t="str">
        <f>IFERROR(_xlfn.XLOOKUP($A246,'Raw Data'!$G:$G,'Raw Data'!AF:AF),"")</f>
        <v/>
      </c>
      <c r="N246" s="104" t="str">
        <f>IFERROR(_xlfn.XLOOKUP($A246,'Raw Data'!$G:$G,'Raw Data'!AG:AG),"")</f>
        <v/>
      </c>
      <c r="O246" s="105" t="str">
        <f>IFERROR(1-SUMIF('Plant BD'!$B:$B,$A246,'Plant BD'!$AM:$AM)/($AA246+SUMIF('Plant BD'!$B:$B,$A246,'Plant BD'!$AM:$AM)),"")</f>
        <v/>
      </c>
      <c r="P246" s="105"/>
      <c r="Q246" s="106"/>
      <c r="R246" s="105" t="str">
        <f>IFERROR(1-SUMIF('Grid BD'!$B:$B,$A246,'Grid BD'!$AE:$AE)/($AA246+SUMIF('Grid BD'!$B:$B,$A246,'Grid BD'!$AE:$AE)),"")</f>
        <v/>
      </c>
      <c r="T246" s="106"/>
      <c r="U246" s="107" t="str">
        <f t="shared" si="17"/>
        <v/>
      </c>
      <c r="V246" s="107"/>
      <c r="W246" s="108" t="str">
        <f t="shared" si="18"/>
        <v/>
      </c>
      <c r="X246" s="101" t="str">
        <f>IFERROR(_xlfn.XLOOKUP($A246,'Raw Data'!$G:$G,'Raw Data'!AI:AI),"")</f>
        <v/>
      </c>
      <c r="Y246" s="101" t="str">
        <f>IFERROR(_xlfn.XLOOKUP($A246,'Raw Data'!$G:$G,'Raw Data'!AJ:AJ),"")</f>
        <v/>
      </c>
      <c r="Z246" s="101" t="str">
        <f>IFERROR(_xlfn.XLOOKUP($A246,'Raw Data'!$G:$G,'Raw Data'!AK:AK),"")</f>
        <v/>
      </c>
      <c r="AA246" s="101" t="str">
        <f>IFERROR(_xlfn.XLOOKUP($A246,'Raw Data'!$G:$G,'Raw Data'!$AL:$AL)*(1+(_xlfn.XLOOKUP(Table13[[#This Row],[Month Year]],JMR!$A:$A,JMR!$J:$J))),"")</f>
        <v/>
      </c>
      <c r="AB246" s="101" t="str">
        <f>IFERROR(_xlfn.XLOOKUP($A246,'Raw Data'!$G:$G,'Raw Data'!H:H),"")</f>
        <v/>
      </c>
      <c r="AC246" s="67">
        <f>IFERROR(_xlfn.XLOOKUP($D246,'Modelling New'!$D:$D,'Modelling New'!P:P),"")</f>
        <v>5.4333333333333336</v>
      </c>
      <c r="AD246" s="101">
        <f>IFERROR(_xlfn.XLOOKUP($D246,'Modelling New'!$D:$D,'Modelling New'!$T:$T)*1000,"")</f>
        <v>30935.368854830132</v>
      </c>
      <c r="AE246" s="109">
        <f>IFERROR(_xlfn.XLOOKUP($D246,'Modelling New'!$D:$D,'Modelling New'!O:O),"")</f>
        <v>0.70984879123298372</v>
      </c>
      <c r="AF246" s="108">
        <f>IFERROR(_xlfn.XLOOKUP($D246,'Modelling New'!$D:$D,'Modelling New'!W:W),"")</f>
        <v>0.160701879126356</v>
      </c>
      <c r="AG246" s="108">
        <f>IFERROR(_xlfn.XLOOKUP($D246,'Modelling New'!$D:$D,'Modelling New'!AE:AE),"")</f>
        <v>0.98040000000000005</v>
      </c>
      <c r="AH246" s="128">
        <f>IFERROR(_xlfn.XLOOKUP($D246,'Modelling New'!$D:$D,'Modelling New'!AF:AF),"")</f>
        <v>0.98</v>
      </c>
      <c r="AN246" s="105"/>
      <c r="AO246" s="108"/>
      <c r="AP246" s="108"/>
      <c r="AQ246" s="108"/>
      <c r="AR246" s="101">
        <f>'Basic Data'!$B$98/1000</f>
        <v>8.0208999999999993</v>
      </c>
      <c r="AT246" s="7" t="str">
        <f>IFERROR(_xlfn.XLOOKUP(Table13[[#This Row],[Date]],'Raw Data'!$G:$G,'Raw Data'!$AN:$AN),"")</f>
        <v/>
      </c>
      <c r="AU246" s="7">
        <f>IFERROR(_xlfn.XLOOKUP(Table13[[#This Row],[Month Year]],'Modelling New'!$D:$D,'Modelling New'!$AO:$AO),"")</f>
        <v>8</v>
      </c>
      <c r="AV246" s="7">
        <f>SUMIF('Curtailment Records'!$C:$C,Table13[[#This Row],[Date]],'Curtailment Records'!$R:$R)/1000</f>
        <v>0</v>
      </c>
    </row>
    <row r="247" spans="1:48" x14ac:dyDescent="0.3">
      <c r="A247" s="100">
        <f t="shared" si="19"/>
        <v>45990</v>
      </c>
      <c r="B247" s="101">
        <f>YEAR(Table13[[#This Row],[Date]])+IF(MONTH(Table13[[#This Row],[Date]])&gt;=4,1,0)</f>
        <v>2026</v>
      </c>
      <c r="C247" s="7">
        <f>YEAR(Table13[[#This Row],[Date]])</f>
        <v>2025</v>
      </c>
      <c r="D247" s="102">
        <f>Table13[[#This Row],[Date]]-DAY(Table13[[#This Row],[Date]])+1</f>
        <v>45962</v>
      </c>
      <c r="E247" s="7">
        <f t="shared" si="16"/>
        <v>30</v>
      </c>
      <c r="F247" s="103" t="str">
        <f>IFERROR(_xlfn.XLOOKUP($A247,'Raw Data'!$G:$G,'Raw Data'!$AM:$AM),"")</f>
        <v/>
      </c>
      <c r="G247" s="104" t="str">
        <f>IFERROR(_xlfn.XLOOKUP($A247,'Raw Data'!$G:$G,'Raw Data'!$AB:$AB),"")</f>
        <v/>
      </c>
      <c r="H247" s="104"/>
      <c r="I247" s="104" t="str">
        <f>IFERROR(_xlfn.XLOOKUP($A247,'Raw Data'!$G:$G,'Raw Data'!$AC:$AC),"")</f>
        <v/>
      </c>
      <c r="J247" s="104"/>
      <c r="K247" s="104" t="str">
        <f>IFERROR(_xlfn.XLOOKUP($A247,'Raw Data'!$G:$G,'Raw Data'!AD:AD),"")</f>
        <v/>
      </c>
      <c r="L247" s="104" t="str">
        <f>IFERROR(_xlfn.XLOOKUP($A247,'Raw Data'!$G:$G,'Raw Data'!AE:AE),"")</f>
        <v/>
      </c>
      <c r="M247" s="104" t="str">
        <f>IFERROR(_xlfn.XLOOKUP($A247,'Raw Data'!$G:$G,'Raw Data'!AF:AF),"")</f>
        <v/>
      </c>
      <c r="N247" s="104" t="str">
        <f>IFERROR(_xlfn.XLOOKUP($A247,'Raw Data'!$G:$G,'Raw Data'!AG:AG),"")</f>
        <v/>
      </c>
      <c r="O247" s="105" t="str">
        <f>IFERROR(1-SUMIF('Plant BD'!$B:$B,$A247,'Plant BD'!$AM:$AM)/($AA247+SUMIF('Plant BD'!$B:$B,$A247,'Plant BD'!$AM:$AM)),"")</f>
        <v/>
      </c>
      <c r="P247" s="105"/>
      <c r="Q247" s="106"/>
      <c r="R247" s="105" t="str">
        <f>IFERROR(1-SUMIF('Grid BD'!$B:$B,$A247,'Grid BD'!$AE:$AE)/($AA247+SUMIF('Grid BD'!$B:$B,$A247,'Grid BD'!$AE:$AE)),"")</f>
        <v/>
      </c>
      <c r="T247" s="106"/>
      <c r="U247" s="107" t="str">
        <f t="shared" si="17"/>
        <v/>
      </c>
      <c r="V247" s="107"/>
      <c r="W247" s="108" t="str">
        <f t="shared" si="18"/>
        <v/>
      </c>
      <c r="X247" s="101" t="str">
        <f>IFERROR(_xlfn.XLOOKUP($A247,'Raw Data'!$G:$G,'Raw Data'!AI:AI),"")</f>
        <v/>
      </c>
      <c r="Y247" s="101" t="str">
        <f>IFERROR(_xlfn.XLOOKUP($A247,'Raw Data'!$G:$G,'Raw Data'!AJ:AJ),"")</f>
        <v/>
      </c>
      <c r="Z247" s="101" t="str">
        <f>IFERROR(_xlfn.XLOOKUP($A247,'Raw Data'!$G:$G,'Raw Data'!AK:AK),"")</f>
        <v/>
      </c>
      <c r="AA247" s="101" t="str">
        <f>IFERROR(_xlfn.XLOOKUP($A247,'Raw Data'!$G:$G,'Raw Data'!$AL:$AL)*(1+(_xlfn.XLOOKUP(Table13[[#This Row],[Month Year]],JMR!$A:$A,JMR!$J:$J))),"")</f>
        <v/>
      </c>
      <c r="AB247" s="101" t="str">
        <f>IFERROR(_xlfn.XLOOKUP($A247,'Raw Data'!$G:$G,'Raw Data'!H:H),"")</f>
        <v/>
      </c>
      <c r="AC247" s="67">
        <f>IFERROR(_xlfn.XLOOKUP($D247,'Modelling New'!$D:$D,'Modelling New'!P:P),"")</f>
        <v>5.4333333333333336</v>
      </c>
      <c r="AD247" s="101">
        <f>IFERROR(_xlfn.XLOOKUP($D247,'Modelling New'!$D:$D,'Modelling New'!$T:$T)*1000,"")</f>
        <v>30935.368854830132</v>
      </c>
      <c r="AE247" s="109">
        <f>IFERROR(_xlfn.XLOOKUP($D247,'Modelling New'!$D:$D,'Modelling New'!O:O),"")</f>
        <v>0.70984879123298372</v>
      </c>
      <c r="AF247" s="108">
        <f>IFERROR(_xlfn.XLOOKUP($D247,'Modelling New'!$D:$D,'Modelling New'!W:W),"")</f>
        <v>0.160701879126356</v>
      </c>
      <c r="AG247" s="108">
        <f>IFERROR(_xlfn.XLOOKUP($D247,'Modelling New'!$D:$D,'Modelling New'!AE:AE),"")</f>
        <v>0.98040000000000005</v>
      </c>
      <c r="AH247" s="128">
        <f>IFERROR(_xlfn.XLOOKUP($D247,'Modelling New'!$D:$D,'Modelling New'!AF:AF),"")</f>
        <v>0.98</v>
      </c>
      <c r="AN247" s="105"/>
      <c r="AO247" s="108"/>
      <c r="AP247" s="108"/>
      <c r="AQ247" s="108"/>
      <c r="AR247" s="101">
        <f>'Basic Data'!$B$98/1000</f>
        <v>8.0208999999999993</v>
      </c>
      <c r="AT247" s="7" t="str">
        <f>IFERROR(_xlfn.XLOOKUP(Table13[[#This Row],[Date]],'Raw Data'!$G:$G,'Raw Data'!$AN:$AN),"")</f>
        <v/>
      </c>
      <c r="AU247" s="7">
        <f>IFERROR(_xlfn.XLOOKUP(Table13[[#This Row],[Month Year]],'Modelling New'!$D:$D,'Modelling New'!$AO:$AO),"")</f>
        <v>8</v>
      </c>
      <c r="AV247" s="7">
        <f>SUMIF('Curtailment Records'!$C:$C,Table13[[#This Row],[Date]],'Curtailment Records'!$R:$R)/1000</f>
        <v>0</v>
      </c>
    </row>
    <row r="248" spans="1:48" x14ac:dyDescent="0.3">
      <c r="A248" s="100">
        <f t="shared" si="19"/>
        <v>45991</v>
      </c>
      <c r="B248" s="101">
        <f>YEAR(Table13[[#This Row],[Date]])+IF(MONTH(Table13[[#This Row],[Date]])&gt;=4,1,0)</f>
        <v>2026</v>
      </c>
      <c r="C248" s="7">
        <f>YEAR(Table13[[#This Row],[Date]])</f>
        <v>2025</v>
      </c>
      <c r="D248" s="102">
        <f>Table13[[#This Row],[Date]]-DAY(Table13[[#This Row],[Date]])+1</f>
        <v>45962</v>
      </c>
      <c r="E248" s="7">
        <f t="shared" si="16"/>
        <v>30</v>
      </c>
      <c r="F248" s="103" t="str">
        <f>IFERROR(_xlfn.XLOOKUP($A248,'Raw Data'!$G:$G,'Raw Data'!$AM:$AM),"")</f>
        <v/>
      </c>
      <c r="G248" s="104" t="str">
        <f>IFERROR(_xlfn.XLOOKUP($A248,'Raw Data'!$G:$G,'Raw Data'!$AB:$AB),"")</f>
        <v/>
      </c>
      <c r="H248" s="104"/>
      <c r="I248" s="104" t="str">
        <f>IFERROR(_xlfn.XLOOKUP($A248,'Raw Data'!$G:$G,'Raw Data'!$AC:$AC),"")</f>
        <v/>
      </c>
      <c r="J248" s="104"/>
      <c r="K248" s="104" t="str">
        <f>IFERROR(_xlfn.XLOOKUP($A248,'Raw Data'!$G:$G,'Raw Data'!AD:AD),"")</f>
        <v/>
      </c>
      <c r="L248" s="104" t="str">
        <f>IFERROR(_xlfn.XLOOKUP($A248,'Raw Data'!$G:$G,'Raw Data'!AE:AE),"")</f>
        <v/>
      </c>
      <c r="M248" s="104" t="str">
        <f>IFERROR(_xlfn.XLOOKUP($A248,'Raw Data'!$G:$G,'Raw Data'!AF:AF),"")</f>
        <v/>
      </c>
      <c r="N248" s="104" t="str">
        <f>IFERROR(_xlfn.XLOOKUP($A248,'Raw Data'!$G:$G,'Raw Data'!AG:AG),"")</f>
        <v/>
      </c>
      <c r="O248" s="105" t="str">
        <f>IFERROR(1-SUMIF('Plant BD'!$B:$B,$A248,'Plant BD'!$AM:$AM)/($AA248+SUMIF('Plant BD'!$B:$B,$A248,'Plant BD'!$AM:$AM)),"")</f>
        <v/>
      </c>
      <c r="P248" s="105"/>
      <c r="Q248" s="106"/>
      <c r="R248" s="105" t="str">
        <f>IFERROR(1-SUMIF('Grid BD'!$B:$B,$A248,'Grid BD'!$AE:$AE)/($AA248+SUMIF('Grid BD'!$B:$B,$A248,'Grid BD'!$AE:$AE)),"")</f>
        <v/>
      </c>
      <c r="T248" s="106"/>
      <c r="U248" s="107" t="str">
        <f t="shared" si="17"/>
        <v/>
      </c>
      <c r="V248" s="107"/>
      <c r="W248" s="108" t="str">
        <f t="shared" si="18"/>
        <v/>
      </c>
      <c r="X248" s="101" t="str">
        <f>IFERROR(_xlfn.XLOOKUP($A248,'Raw Data'!$G:$G,'Raw Data'!AI:AI),"")</f>
        <v/>
      </c>
      <c r="Y248" s="101" t="str">
        <f>IFERROR(_xlfn.XLOOKUP($A248,'Raw Data'!$G:$G,'Raw Data'!AJ:AJ),"")</f>
        <v/>
      </c>
      <c r="Z248" s="101" t="str">
        <f>IFERROR(_xlfn.XLOOKUP($A248,'Raw Data'!$G:$G,'Raw Data'!AK:AK),"")</f>
        <v/>
      </c>
      <c r="AA248" s="101" t="str">
        <f>IFERROR(_xlfn.XLOOKUP($A248,'Raw Data'!$G:$G,'Raw Data'!$AL:$AL)*(1+(_xlfn.XLOOKUP(Table13[[#This Row],[Month Year]],JMR!$A:$A,JMR!$J:$J))),"")</f>
        <v/>
      </c>
      <c r="AB248" s="101" t="str">
        <f>IFERROR(_xlfn.XLOOKUP($A248,'Raw Data'!$G:$G,'Raw Data'!H:H),"")</f>
        <v/>
      </c>
      <c r="AC248" s="67">
        <f>IFERROR(_xlfn.XLOOKUP($D248,'Modelling New'!$D:$D,'Modelling New'!P:P),"")</f>
        <v>5.4333333333333336</v>
      </c>
      <c r="AD248" s="101">
        <f>IFERROR(_xlfn.XLOOKUP($D248,'Modelling New'!$D:$D,'Modelling New'!$T:$T)*1000,"")</f>
        <v>30935.368854830132</v>
      </c>
      <c r="AE248" s="109">
        <f>IFERROR(_xlfn.XLOOKUP($D248,'Modelling New'!$D:$D,'Modelling New'!O:O),"")</f>
        <v>0.70984879123298372</v>
      </c>
      <c r="AF248" s="108">
        <f>IFERROR(_xlfn.XLOOKUP($D248,'Modelling New'!$D:$D,'Modelling New'!W:W),"")</f>
        <v>0.160701879126356</v>
      </c>
      <c r="AG248" s="108">
        <f>IFERROR(_xlfn.XLOOKUP($D248,'Modelling New'!$D:$D,'Modelling New'!AE:AE),"")</f>
        <v>0.98040000000000005</v>
      </c>
      <c r="AH248" s="128">
        <f>IFERROR(_xlfn.XLOOKUP($D248,'Modelling New'!$D:$D,'Modelling New'!AF:AF),"")</f>
        <v>0.98</v>
      </c>
      <c r="AN248" s="105"/>
      <c r="AO248" s="108"/>
      <c r="AP248" s="108"/>
      <c r="AQ248" s="108"/>
      <c r="AR248" s="101">
        <f>'Basic Data'!$B$98/1000</f>
        <v>8.0208999999999993</v>
      </c>
      <c r="AT248" s="7" t="str">
        <f>IFERROR(_xlfn.XLOOKUP(Table13[[#This Row],[Date]],'Raw Data'!$G:$G,'Raw Data'!$AN:$AN),"")</f>
        <v/>
      </c>
      <c r="AU248" s="7">
        <f>IFERROR(_xlfn.XLOOKUP(Table13[[#This Row],[Month Year]],'Modelling New'!$D:$D,'Modelling New'!$AO:$AO),"")</f>
        <v>8</v>
      </c>
      <c r="AV248" s="7">
        <f>SUMIF('Curtailment Records'!$C:$C,Table13[[#This Row],[Date]],'Curtailment Records'!$R:$R)/1000</f>
        <v>0</v>
      </c>
    </row>
    <row r="249" spans="1:48" x14ac:dyDescent="0.3">
      <c r="A249" s="100">
        <f t="shared" si="19"/>
        <v>45992</v>
      </c>
      <c r="B249" s="101">
        <f>YEAR(Table13[[#This Row],[Date]])+IF(MONTH(Table13[[#This Row],[Date]])&gt;=4,1,0)</f>
        <v>2026</v>
      </c>
      <c r="C249" s="7">
        <f>YEAR(Table13[[#This Row],[Date]])</f>
        <v>2025</v>
      </c>
      <c r="D249" s="102">
        <f>Table13[[#This Row],[Date]]-DAY(Table13[[#This Row],[Date]])+1</f>
        <v>45992</v>
      </c>
      <c r="E249" s="7">
        <f t="shared" si="16"/>
        <v>31</v>
      </c>
      <c r="F249" s="103" t="str">
        <f>IFERROR(_xlfn.XLOOKUP($A249,'Raw Data'!$G:$G,'Raw Data'!$AM:$AM),"")</f>
        <v/>
      </c>
      <c r="G249" s="104" t="str">
        <f>IFERROR(_xlfn.XLOOKUP($A249,'Raw Data'!$G:$G,'Raw Data'!$AB:$AB),"")</f>
        <v/>
      </c>
      <c r="H249" s="104"/>
      <c r="I249" s="104" t="str">
        <f>IFERROR(_xlfn.XLOOKUP($A249,'Raw Data'!$G:$G,'Raw Data'!$AC:$AC),"")</f>
        <v/>
      </c>
      <c r="J249" s="104"/>
      <c r="K249" s="104" t="str">
        <f>IFERROR(_xlfn.XLOOKUP($A249,'Raw Data'!$G:$G,'Raw Data'!AD:AD),"")</f>
        <v/>
      </c>
      <c r="L249" s="104" t="str">
        <f>IFERROR(_xlfn.XLOOKUP($A249,'Raw Data'!$G:$G,'Raw Data'!AE:AE),"")</f>
        <v/>
      </c>
      <c r="M249" s="104" t="str">
        <f>IFERROR(_xlfn.XLOOKUP($A249,'Raw Data'!$G:$G,'Raw Data'!AF:AF),"")</f>
        <v/>
      </c>
      <c r="N249" s="104" t="str">
        <f>IFERROR(_xlfn.XLOOKUP($A249,'Raw Data'!$G:$G,'Raw Data'!AG:AG),"")</f>
        <v/>
      </c>
      <c r="O249" s="105" t="str">
        <f>IFERROR(1-SUMIF('Plant BD'!$B:$B,$A249,'Plant BD'!$AM:$AM)/($AA249+SUMIF('Plant BD'!$B:$B,$A249,'Plant BD'!$AM:$AM)),"")</f>
        <v/>
      </c>
      <c r="P249" s="105"/>
      <c r="Q249" s="106"/>
      <c r="R249" s="105" t="str">
        <f>IFERROR(1-SUMIF('Grid BD'!$B:$B,$A249,'Grid BD'!$AE:$AE)/($AA249+SUMIF('Grid BD'!$B:$B,$A249,'Grid BD'!$AE:$AE)),"")</f>
        <v/>
      </c>
      <c r="T249" s="106"/>
      <c r="U249" s="107" t="str">
        <f t="shared" si="17"/>
        <v/>
      </c>
      <c r="V249" s="107"/>
      <c r="W249" s="108" t="str">
        <f t="shared" si="18"/>
        <v/>
      </c>
      <c r="X249" s="101" t="str">
        <f>IFERROR(_xlfn.XLOOKUP($A249,'Raw Data'!$G:$G,'Raw Data'!AI:AI),"")</f>
        <v/>
      </c>
      <c r="Y249" s="101" t="str">
        <f>IFERROR(_xlfn.XLOOKUP($A249,'Raw Data'!$G:$G,'Raw Data'!AJ:AJ),"")</f>
        <v/>
      </c>
      <c r="Z249" s="101" t="str">
        <f>IFERROR(_xlfn.XLOOKUP($A249,'Raw Data'!$G:$G,'Raw Data'!AK:AK),"")</f>
        <v/>
      </c>
      <c r="AA249" s="101" t="str">
        <f>IFERROR(_xlfn.XLOOKUP($A249,'Raw Data'!$G:$G,'Raw Data'!$AL:$AL)*(1+(_xlfn.XLOOKUP(Table13[[#This Row],[Month Year]],JMR!$A:$A,JMR!$J:$J))),"")</f>
        <v/>
      </c>
      <c r="AB249" s="101" t="str">
        <f>IFERROR(_xlfn.XLOOKUP($A249,'Raw Data'!$G:$G,'Raw Data'!H:H),"")</f>
        <v/>
      </c>
      <c r="AC249" s="67">
        <f>IFERROR(_xlfn.XLOOKUP($D249,'Modelling New'!$D:$D,'Modelling New'!P:P),"")</f>
        <v>5.2806451612903222</v>
      </c>
      <c r="AD249" s="101">
        <f>IFERROR(_xlfn.XLOOKUP($D249,'Modelling New'!$D:$D,'Modelling New'!$T:$T)*1000,"")</f>
        <v>31172.693339085006</v>
      </c>
      <c r="AE249" s="109">
        <f>IFERROR(_xlfn.XLOOKUP($D249,'Modelling New'!$D:$D,'Modelling New'!O:O),"")</f>
        <v>0.73597699552347362</v>
      </c>
      <c r="AF249" s="108">
        <f>IFERROR(_xlfn.XLOOKUP($D249,'Modelling New'!$D:$D,'Modelling New'!W:W),"")</f>
        <v>0.16193472334300082</v>
      </c>
      <c r="AG249" s="108">
        <f>IFERROR(_xlfn.XLOOKUP($D249,'Modelling New'!$D:$D,'Modelling New'!AE:AE),"")</f>
        <v>0.98040000000000005</v>
      </c>
      <c r="AH249" s="128">
        <f>IFERROR(_xlfn.XLOOKUP($D249,'Modelling New'!$D:$D,'Modelling New'!AF:AF),"")</f>
        <v>0.98</v>
      </c>
      <c r="AN249" s="105"/>
      <c r="AO249" s="108"/>
      <c r="AP249" s="108"/>
      <c r="AQ249" s="108"/>
      <c r="AR249" s="101">
        <f>'Basic Data'!$B$98/1000</f>
        <v>8.0208999999999993</v>
      </c>
      <c r="AT249" s="7" t="str">
        <f>IFERROR(_xlfn.XLOOKUP(Table13[[#This Row],[Date]],'Raw Data'!$G:$G,'Raw Data'!$AN:$AN),"")</f>
        <v/>
      </c>
      <c r="AU249" s="7">
        <f>IFERROR(_xlfn.XLOOKUP(Table13[[#This Row],[Month Year]],'Modelling New'!$D:$D,'Modelling New'!$AO:$AO),"")</f>
        <v>8</v>
      </c>
      <c r="AV249" s="7">
        <f>SUMIF('Curtailment Records'!$C:$C,Table13[[#This Row],[Date]],'Curtailment Records'!$R:$R)/1000</f>
        <v>0</v>
      </c>
    </row>
    <row r="250" spans="1:48" x14ac:dyDescent="0.3">
      <c r="A250" s="100">
        <f t="shared" si="19"/>
        <v>45993</v>
      </c>
      <c r="B250" s="101">
        <f>YEAR(Table13[[#This Row],[Date]])+IF(MONTH(Table13[[#This Row],[Date]])&gt;=4,1,0)</f>
        <v>2026</v>
      </c>
      <c r="C250" s="7">
        <f>YEAR(Table13[[#This Row],[Date]])</f>
        <v>2025</v>
      </c>
      <c r="D250" s="102">
        <f>Table13[[#This Row],[Date]]-DAY(Table13[[#This Row],[Date]])+1</f>
        <v>45992</v>
      </c>
      <c r="E250" s="7">
        <f t="shared" si="16"/>
        <v>31</v>
      </c>
      <c r="F250" s="103" t="str">
        <f>IFERROR(_xlfn.XLOOKUP($A250,'Raw Data'!$G:$G,'Raw Data'!$AM:$AM),"")</f>
        <v/>
      </c>
      <c r="G250" s="104" t="str">
        <f>IFERROR(_xlfn.XLOOKUP($A250,'Raw Data'!$G:$G,'Raw Data'!$AB:$AB),"")</f>
        <v/>
      </c>
      <c r="H250" s="104"/>
      <c r="I250" s="104" t="str">
        <f>IFERROR(_xlfn.XLOOKUP($A250,'Raw Data'!$G:$G,'Raw Data'!$AC:$AC),"")</f>
        <v/>
      </c>
      <c r="J250" s="104"/>
      <c r="K250" s="104" t="str">
        <f>IFERROR(_xlfn.XLOOKUP($A250,'Raw Data'!$G:$G,'Raw Data'!AD:AD),"")</f>
        <v/>
      </c>
      <c r="L250" s="104" t="str">
        <f>IFERROR(_xlfn.XLOOKUP($A250,'Raw Data'!$G:$G,'Raw Data'!AE:AE),"")</f>
        <v/>
      </c>
      <c r="M250" s="104" t="str">
        <f>IFERROR(_xlfn.XLOOKUP($A250,'Raw Data'!$G:$G,'Raw Data'!AF:AF),"")</f>
        <v/>
      </c>
      <c r="N250" s="104" t="str">
        <f>IFERROR(_xlfn.XLOOKUP($A250,'Raw Data'!$G:$G,'Raw Data'!AG:AG),"")</f>
        <v/>
      </c>
      <c r="O250" s="105" t="str">
        <f>IFERROR(1-SUMIF('Plant BD'!$B:$B,$A250,'Plant BD'!$AM:$AM)/($AA250+SUMIF('Plant BD'!$B:$B,$A250,'Plant BD'!$AM:$AM)),"")</f>
        <v/>
      </c>
      <c r="P250" s="105"/>
      <c r="Q250" s="106"/>
      <c r="R250" s="105" t="str">
        <f>IFERROR(1-SUMIF('Grid BD'!$B:$B,$A250,'Grid BD'!$AE:$AE)/($AA250+SUMIF('Grid BD'!$B:$B,$A250,'Grid BD'!$AE:$AE)),"")</f>
        <v/>
      </c>
      <c r="T250" s="106"/>
      <c r="U250" s="107" t="str">
        <f t="shared" si="17"/>
        <v/>
      </c>
      <c r="V250" s="107"/>
      <c r="W250" s="108" t="str">
        <f t="shared" si="18"/>
        <v/>
      </c>
      <c r="X250" s="101" t="str">
        <f>IFERROR(_xlfn.XLOOKUP($A250,'Raw Data'!$G:$G,'Raw Data'!AI:AI),"")</f>
        <v/>
      </c>
      <c r="Y250" s="101" t="str">
        <f>IFERROR(_xlfn.XLOOKUP($A250,'Raw Data'!$G:$G,'Raw Data'!AJ:AJ),"")</f>
        <v/>
      </c>
      <c r="Z250" s="101" t="str">
        <f>IFERROR(_xlfn.XLOOKUP($A250,'Raw Data'!$G:$G,'Raw Data'!AK:AK),"")</f>
        <v/>
      </c>
      <c r="AA250" s="101" t="str">
        <f>IFERROR(_xlfn.XLOOKUP($A250,'Raw Data'!$G:$G,'Raw Data'!$AL:$AL)*(1+(_xlfn.XLOOKUP(Table13[[#This Row],[Month Year]],JMR!$A:$A,JMR!$J:$J))),"")</f>
        <v/>
      </c>
      <c r="AB250" s="101" t="str">
        <f>IFERROR(_xlfn.XLOOKUP($A250,'Raw Data'!$G:$G,'Raw Data'!H:H),"")</f>
        <v/>
      </c>
      <c r="AC250" s="67">
        <f>IFERROR(_xlfn.XLOOKUP($D250,'Modelling New'!$D:$D,'Modelling New'!P:P),"")</f>
        <v>5.2806451612903222</v>
      </c>
      <c r="AD250" s="101">
        <f>IFERROR(_xlfn.XLOOKUP($D250,'Modelling New'!$D:$D,'Modelling New'!$T:$T)*1000,"")</f>
        <v>31172.693339085006</v>
      </c>
      <c r="AE250" s="109">
        <f>IFERROR(_xlfn.XLOOKUP($D250,'Modelling New'!$D:$D,'Modelling New'!O:O),"")</f>
        <v>0.73597699552347362</v>
      </c>
      <c r="AF250" s="108">
        <f>IFERROR(_xlfn.XLOOKUP($D250,'Modelling New'!$D:$D,'Modelling New'!W:W),"")</f>
        <v>0.16193472334300082</v>
      </c>
      <c r="AG250" s="108">
        <f>IFERROR(_xlfn.XLOOKUP($D250,'Modelling New'!$D:$D,'Modelling New'!AE:AE),"")</f>
        <v>0.98040000000000005</v>
      </c>
      <c r="AH250" s="128">
        <f>IFERROR(_xlfn.XLOOKUP($D250,'Modelling New'!$D:$D,'Modelling New'!AF:AF),"")</f>
        <v>0.98</v>
      </c>
      <c r="AN250" s="105"/>
      <c r="AO250" s="108"/>
      <c r="AP250" s="108"/>
      <c r="AQ250" s="108"/>
      <c r="AR250" s="101">
        <f>'Basic Data'!$B$98/1000</f>
        <v>8.0208999999999993</v>
      </c>
      <c r="AT250" s="7" t="str">
        <f>IFERROR(_xlfn.XLOOKUP(Table13[[#This Row],[Date]],'Raw Data'!$G:$G,'Raw Data'!$AN:$AN),"")</f>
        <v/>
      </c>
      <c r="AU250" s="7">
        <f>IFERROR(_xlfn.XLOOKUP(Table13[[#This Row],[Month Year]],'Modelling New'!$D:$D,'Modelling New'!$AO:$AO),"")</f>
        <v>8</v>
      </c>
      <c r="AV250" s="7">
        <f>SUMIF('Curtailment Records'!$C:$C,Table13[[#This Row],[Date]],'Curtailment Records'!$R:$R)/1000</f>
        <v>0</v>
      </c>
    </row>
    <row r="251" spans="1:48" x14ac:dyDescent="0.3">
      <c r="A251" s="100">
        <f t="shared" si="19"/>
        <v>45994</v>
      </c>
      <c r="B251" s="101">
        <f>YEAR(Table13[[#This Row],[Date]])+IF(MONTH(Table13[[#This Row],[Date]])&gt;=4,1,0)</f>
        <v>2026</v>
      </c>
      <c r="C251" s="7">
        <f>YEAR(Table13[[#This Row],[Date]])</f>
        <v>2025</v>
      </c>
      <c r="D251" s="102">
        <f>Table13[[#This Row],[Date]]-DAY(Table13[[#This Row],[Date]])+1</f>
        <v>45992</v>
      </c>
      <c r="E251" s="7">
        <f t="shared" si="16"/>
        <v>31</v>
      </c>
      <c r="F251" s="103" t="str">
        <f>IFERROR(_xlfn.XLOOKUP($A251,'Raw Data'!$G:$G,'Raw Data'!$AM:$AM),"")</f>
        <v/>
      </c>
      <c r="G251" s="104" t="str">
        <f>IFERROR(_xlfn.XLOOKUP($A251,'Raw Data'!$G:$G,'Raw Data'!$AB:$AB),"")</f>
        <v/>
      </c>
      <c r="H251" s="104"/>
      <c r="I251" s="104" t="str">
        <f>IFERROR(_xlfn.XLOOKUP($A251,'Raw Data'!$G:$G,'Raw Data'!$AC:$AC),"")</f>
        <v/>
      </c>
      <c r="J251" s="104"/>
      <c r="K251" s="104" t="str">
        <f>IFERROR(_xlfn.XLOOKUP($A251,'Raw Data'!$G:$G,'Raw Data'!AD:AD),"")</f>
        <v/>
      </c>
      <c r="L251" s="104" t="str">
        <f>IFERROR(_xlfn.XLOOKUP($A251,'Raw Data'!$G:$G,'Raw Data'!AE:AE),"")</f>
        <v/>
      </c>
      <c r="M251" s="104" t="str">
        <f>IFERROR(_xlfn.XLOOKUP($A251,'Raw Data'!$G:$G,'Raw Data'!AF:AF),"")</f>
        <v/>
      </c>
      <c r="N251" s="104" t="str">
        <f>IFERROR(_xlfn.XLOOKUP($A251,'Raw Data'!$G:$G,'Raw Data'!AG:AG),"")</f>
        <v/>
      </c>
      <c r="O251" s="105" t="str">
        <f>IFERROR(1-SUMIF('Plant BD'!$B:$B,$A251,'Plant BD'!$AM:$AM)/($AA251+SUMIF('Plant BD'!$B:$B,$A251,'Plant BD'!$AM:$AM)),"")</f>
        <v/>
      </c>
      <c r="P251" s="105"/>
      <c r="Q251" s="106"/>
      <c r="R251" s="105" t="str">
        <f>IFERROR(1-SUMIF('Grid BD'!$B:$B,$A251,'Grid BD'!$AE:$AE)/($AA251+SUMIF('Grid BD'!$B:$B,$A251,'Grid BD'!$AE:$AE)),"")</f>
        <v/>
      </c>
      <c r="T251" s="106"/>
      <c r="U251" s="107" t="str">
        <f t="shared" si="17"/>
        <v/>
      </c>
      <c r="V251" s="107"/>
      <c r="W251" s="108" t="str">
        <f t="shared" si="18"/>
        <v/>
      </c>
      <c r="X251" s="101" t="str">
        <f>IFERROR(_xlfn.XLOOKUP($A251,'Raw Data'!$G:$G,'Raw Data'!AI:AI),"")</f>
        <v/>
      </c>
      <c r="Y251" s="101" t="str">
        <f>IFERROR(_xlfn.XLOOKUP($A251,'Raw Data'!$G:$G,'Raw Data'!AJ:AJ),"")</f>
        <v/>
      </c>
      <c r="Z251" s="101" t="str">
        <f>IFERROR(_xlfn.XLOOKUP($A251,'Raw Data'!$G:$G,'Raw Data'!AK:AK),"")</f>
        <v/>
      </c>
      <c r="AA251" s="101" t="str">
        <f>IFERROR(_xlfn.XLOOKUP($A251,'Raw Data'!$G:$G,'Raw Data'!$AL:$AL)*(1+(_xlfn.XLOOKUP(Table13[[#This Row],[Month Year]],JMR!$A:$A,JMR!$J:$J))),"")</f>
        <v/>
      </c>
      <c r="AB251" s="101" t="str">
        <f>IFERROR(_xlfn.XLOOKUP($A251,'Raw Data'!$G:$G,'Raw Data'!H:H),"")</f>
        <v/>
      </c>
      <c r="AC251" s="67">
        <f>IFERROR(_xlfn.XLOOKUP($D251,'Modelling New'!$D:$D,'Modelling New'!P:P),"")</f>
        <v>5.2806451612903222</v>
      </c>
      <c r="AD251" s="101">
        <f>IFERROR(_xlfn.XLOOKUP($D251,'Modelling New'!$D:$D,'Modelling New'!$T:$T)*1000,"")</f>
        <v>31172.693339085006</v>
      </c>
      <c r="AE251" s="109">
        <f>IFERROR(_xlfn.XLOOKUP($D251,'Modelling New'!$D:$D,'Modelling New'!O:O),"")</f>
        <v>0.73597699552347362</v>
      </c>
      <c r="AF251" s="108">
        <f>IFERROR(_xlfn.XLOOKUP($D251,'Modelling New'!$D:$D,'Modelling New'!W:W),"")</f>
        <v>0.16193472334300082</v>
      </c>
      <c r="AG251" s="108">
        <f>IFERROR(_xlfn.XLOOKUP($D251,'Modelling New'!$D:$D,'Modelling New'!AE:AE),"")</f>
        <v>0.98040000000000005</v>
      </c>
      <c r="AH251" s="128">
        <f>IFERROR(_xlfn.XLOOKUP($D251,'Modelling New'!$D:$D,'Modelling New'!AF:AF),"")</f>
        <v>0.98</v>
      </c>
      <c r="AN251" s="105"/>
      <c r="AO251" s="108"/>
      <c r="AP251" s="108"/>
      <c r="AQ251" s="108"/>
      <c r="AR251" s="101">
        <f>'Basic Data'!$B$98/1000</f>
        <v>8.0208999999999993</v>
      </c>
      <c r="AT251" s="7" t="str">
        <f>IFERROR(_xlfn.XLOOKUP(Table13[[#This Row],[Date]],'Raw Data'!$G:$G,'Raw Data'!$AN:$AN),"")</f>
        <v/>
      </c>
      <c r="AU251" s="7">
        <f>IFERROR(_xlfn.XLOOKUP(Table13[[#This Row],[Month Year]],'Modelling New'!$D:$D,'Modelling New'!$AO:$AO),"")</f>
        <v>8</v>
      </c>
      <c r="AV251" s="7">
        <f>SUMIF('Curtailment Records'!$C:$C,Table13[[#This Row],[Date]],'Curtailment Records'!$R:$R)/1000</f>
        <v>0</v>
      </c>
    </row>
    <row r="252" spans="1:48" x14ac:dyDescent="0.3">
      <c r="A252" s="100">
        <f t="shared" si="19"/>
        <v>45995</v>
      </c>
      <c r="B252" s="101">
        <f>YEAR(Table13[[#This Row],[Date]])+IF(MONTH(Table13[[#This Row],[Date]])&gt;=4,1,0)</f>
        <v>2026</v>
      </c>
      <c r="C252" s="7">
        <f>YEAR(Table13[[#This Row],[Date]])</f>
        <v>2025</v>
      </c>
      <c r="D252" s="102">
        <f>Table13[[#This Row],[Date]]-DAY(Table13[[#This Row],[Date]])+1</f>
        <v>45992</v>
      </c>
      <c r="E252" s="7">
        <f t="shared" si="16"/>
        <v>31</v>
      </c>
      <c r="F252" s="103" t="str">
        <f>IFERROR(_xlfn.XLOOKUP($A252,'Raw Data'!$G:$G,'Raw Data'!$AM:$AM),"")</f>
        <v/>
      </c>
      <c r="G252" s="104" t="str">
        <f>IFERROR(_xlfn.XLOOKUP($A252,'Raw Data'!$G:$G,'Raw Data'!$AB:$AB),"")</f>
        <v/>
      </c>
      <c r="H252" s="104"/>
      <c r="I252" s="104" t="str">
        <f>IFERROR(_xlfn.XLOOKUP($A252,'Raw Data'!$G:$G,'Raw Data'!$AC:$AC),"")</f>
        <v/>
      </c>
      <c r="J252" s="104"/>
      <c r="K252" s="104" t="str">
        <f>IFERROR(_xlfn.XLOOKUP($A252,'Raw Data'!$G:$G,'Raw Data'!AD:AD),"")</f>
        <v/>
      </c>
      <c r="L252" s="104" t="str">
        <f>IFERROR(_xlfn.XLOOKUP($A252,'Raw Data'!$G:$G,'Raw Data'!AE:AE),"")</f>
        <v/>
      </c>
      <c r="M252" s="104" t="str">
        <f>IFERROR(_xlfn.XLOOKUP($A252,'Raw Data'!$G:$G,'Raw Data'!AF:AF),"")</f>
        <v/>
      </c>
      <c r="N252" s="104" t="str">
        <f>IFERROR(_xlfn.XLOOKUP($A252,'Raw Data'!$G:$G,'Raw Data'!AG:AG),"")</f>
        <v/>
      </c>
      <c r="O252" s="105" t="str">
        <f>IFERROR(1-SUMIF('Plant BD'!$B:$B,$A252,'Plant BD'!$AM:$AM)/($AA252+SUMIF('Plant BD'!$B:$B,$A252,'Plant BD'!$AM:$AM)),"")</f>
        <v/>
      </c>
      <c r="P252" s="105"/>
      <c r="Q252" s="106"/>
      <c r="R252" s="105" t="str">
        <f>IFERROR(1-SUMIF('Grid BD'!$B:$B,$A252,'Grid BD'!$AE:$AE)/($AA252+SUMIF('Grid BD'!$B:$B,$A252,'Grid BD'!$AE:$AE)),"")</f>
        <v/>
      </c>
      <c r="T252" s="106"/>
      <c r="U252" s="107" t="str">
        <f t="shared" si="17"/>
        <v/>
      </c>
      <c r="V252" s="107"/>
      <c r="W252" s="108" t="str">
        <f t="shared" si="18"/>
        <v/>
      </c>
      <c r="X252" s="101" t="str">
        <f>IFERROR(_xlfn.XLOOKUP($A252,'Raw Data'!$G:$G,'Raw Data'!AI:AI),"")</f>
        <v/>
      </c>
      <c r="Y252" s="101" t="str">
        <f>IFERROR(_xlfn.XLOOKUP($A252,'Raw Data'!$G:$G,'Raw Data'!AJ:AJ),"")</f>
        <v/>
      </c>
      <c r="Z252" s="101" t="str">
        <f>IFERROR(_xlfn.XLOOKUP($A252,'Raw Data'!$G:$G,'Raw Data'!AK:AK),"")</f>
        <v/>
      </c>
      <c r="AA252" s="101" t="str">
        <f>IFERROR(_xlfn.XLOOKUP($A252,'Raw Data'!$G:$G,'Raw Data'!$AL:$AL)*(1+(_xlfn.XLOOKUP(Table13[[#This Row],[Month Year]],JMR!$A:$A,JMR!$J:$J))),"")</f>
        <v/>
      </c>
      <c r="AB252" s="101" t="str">
        <f>IFERROR(_xlfn.XLOOKUP($A252,'Raw Data'!$G:$G,'Raw Data'!H:H),"")</f>
        <v/>
      </c>
      <c r="AC252" s="67">
        <f>IFERROR(_xlfn.XLOOKUP($D252,'Modelling New'!$D:$D,'Modelling New'!P:P),"")</f>
        <v>5.2806451612903222</v>
      </c>
      <c r="AD252" s="101">
        <f>IFERROR(_xlfn.XLOOKUP($D252,'Modelling New'!$D:$D,'Modelling New'!$T:$T)*1000,"")</f>
        <v>31172.693339085006</v>
      </c>
      <c r="AE252" s="109">
        <f>IFERROR(_xlfn.XLOOKUP($D252,'Modelling New'!$D:$D,'Modelling New'!O:O),"")</f>
        <v>0.73597699552347362</v>
      </c>
      <c r="AF252" s="108">
        <f>IFERROR(_xlfn.XLOOKUP($D252,'Modelling New'!$D:$D,'Modelling New'!W:W),"")</f>
        <v>0.16193472334300082</v>
      </c>
      <c r="AG252" s="108">
        <f>IFERROR(_xlfn.XLOOKUP($D252,'Modelling New'!$D:$D,'Modelling New'!AE:AE),"")</f>
        <v>0.98040000000000005</v>
      </c>
      <c r="AH252" s="128">
        <f>IFERROR(_xlfn.XLOOKUP($D252,'Modelling New'!$D:$D,'Modelling New'!AF:AF),"")</f>
        <v>0.98</v>
      </c>
      <c r="AN252" s="105"/>
      <c r="AO252" s="108"/>
      <c r="AP252" s="108"/>
      <c r="AQ252" s="108"/>
      <c r="AR252" s="101">
        <f>'Basic Data'!$B$98/1000</f>
        <v>8.0208999999999993</v>
      </c>
      <c r="AT252" s="7" t="str">
        <f>IFERROR(_xlfn.XLOOKUP(Table13[[#This Row],[Date]],'Raw Data'!$G:$G,'Raw Data'!$AN:$AN),"")</f>
        <v/>
      </c>
      <c r="AU252" s="7">
        <f>IFERROR(_xlfn.XLOOKUP(Table13[[#This Row],[Month Year]],'Modelling New'!$D:$D,'Modelling New'!$AO:$AO),"")</f>
        <v>8</v>
      </c>
      <c r="AV252" s="7">
        <f>SUMIF('Curtailment Records'!$C:$C,Table13[[#This Row],[Date]],'Curtailment Records'!$R:$R)/1000</f>
        <v>0</v>
      </c>
    </row>
    <row r="253" spans="1:48" x14ac:dyDescent="0.3">
      <c r="A253" s="100">
        <f t="shared" si="19"/>
        <v>45996</v>
      </c>
      <c r="B253" s="101">
        <f>YEAR(Table13[[#This Row],[Date]])+IF(MONTH(Table13[[#This Row],[Date]])&gt;=4,1,0)</f>
        <v>2026</v>
      </c>
      <c r="C253" s="7">
        <f>YEAR(Table13[[#This Row],[Date]])</f>
        <v>2025</v>
      </c>
      <c r="D253" s="102">
        <f>Table13[[#This Row],[Date]]-DAY(Table13[[#This Row],[Date]])+1</f>
        <v>45992</v>
      </c>
      <c r="E253" s="7">
        <f t="shared" si="16"/>
        <v>31</v>
      </c>
      <c r="F253" s="103" t="str">
        <f>IFERROR(_xlfn.XLOOKUP($A253,'Raw Data'!$G:$G,'Raw Data'!$AM:$AM),"")</f>
        <v/>
      </c>
      <c r="G253" s="104" t="str">
        <f>IFERROR(_xlfn.XLOOKUP($A253,'Raw Data'!$G:$G,'Raw Data'!$AB:$AB),"")</f>
        <v/>
      </c>
      <c r="H253" s="104"/>
      <c r="I253" s="104" t="str">
        <f>IFERROR(_xlfn.XLOOKUP($A253,'Raw Data'!$G:$G,'Raw Data'!$AC:$AC),"")</f>
        <v/>
      </c>
      <c r="J253" s="104"/>
      <c r="K253" s="104" t="str">
        <f>IFERROR(_xlfn.XLOOKUP($A253,'Raw Data'!$G:$G,'Raw Data'!AD:AD),"")</f>
        <v/>
      </c>
      <c r="L253" s="104" t="str">
        <f>IFERROR(_xlfn.XLOOKUP($A253,'Raw Data'!$G:$G,'Raw Data'!AE:AE),"")</f>
        <v/>
      </c>
      <c r="M253" s="104" t="str">
        <f>IFERROR(_xlfn.XLOOKUP($A253,'Raw Data'!$G:$G,'Raw Data'!AF:AF),"")</f>
        <v/>
      </c>
      <c r="N253" s="104" t="str">
        <f>IFERROR(_xlfn.XLOOKUP($A253,'Raw Data'!$G:$G,'Raw Data'!AG:AG),"")</f>
        <v/>
      </c>
      <c r="O253" s="105" t="str">
        <f>IFERROR(1-SUMIF('Plant BD'!$B:$B,$A253,'Plant BD'!$AM:$AM)/($AA253+SUMIF('Plant BD'!$B:$B,$A253,'Plant BD'!$AM:$AM)),"")</f>
        <v/>
      </c>
      <c r="P253" s="105"/>
      <c r="Q253" s="106"/>
      <c r="R253" s="105" t="str">
        <f>IFERROR(1-SUMIF('Grid BD'!$B:$B,$A253,'Grid BD'!$AE:$AE)/($AA253+SUMIF('Grid BD'!$B:$B,$A253,'Grid BD'!$AE:$AE)),"")</f>
        <v/>
      </c>
      <c r="T253" s="106"/>
      <c r="U253" s="107" t="str">
        <f t="shared" si="17"/>
        <v/>
      </c>
      <c r="V253" s="107"/>
      <c r="W253" s="108" t="str">
        <f t="shared" si="18"/>
        <v/>
      </c>
      <c r="X253" s="101" t="str">
        <f>IFERROR(_xlfn.XLOOKUP($A253,'Raw Data'!$G:$G,'Raw Data'!AI:AI),"")</f>
        <v/>
      </c>
      <c r="Y253" s="101" t="str">
        <f>IFERROR(_xlfn.XLOOKUP($A253,'Raw Data'!$G:$G,'Raw Data'!AJ:AJ),"")</f>
        <v/>
      </c>
      <c r="Z253" s="101" t="str">
        <f>IFERROR(_xlfn.XLOOKUP($A253,'Raw Data'!$G:$G,'Raw Data'!AK:AK),"")</f>
        <v/>
      </c>
      <c r="AA253" s="101" t="str">
        <f>IFERROR(_xlfn.XLOOKUP($A253,'Raw Data'!$G:$G,'Raw Data'!$AL:$AL)*(1+(_xlfn.XLOOKUP(Table13[[#This Row],[Month Year]],JMR!$A:$A,JMR!$J:$J))),"")</f>
        <v/>
      </c>
      <c r="AB253" s="101" t="str">
        <f>IFERROR(_xlfn.XLOOKUP($A253,'Raw Data'!$G:$G,'Raw Data'!H:H),"")</f>
        <v/>
      </c>
      <c r="AC253" s="67">
        <f>IFERROR(_xlfn.XLOOKUP($D253,'Modelling New'!$D:$D,'Modelling New'!P:P),"")</f>
        <v>5.2806451612903222</v>
      </c>
      <c r="AD253" s="101">
        <f>IFERROR(_xlfn.XLOOKUP($D253,'Modelling New'!$D:$D,'Modelling New'!$T:$T)*1000,"")</f>
        <v>31172.693339085006</v>
      </c>
      <c r="AE253" s="109">
        <f>IFERROR(_xlfn.XLOOKUP($D253,'Modelling New'!$D:$D,'Modelling New'!O:O),"")</f>
        <v>0.73597699552347362</v>
      </c>
      <c r="AF253" s="108">
        <f>IFERROR(_xlfn.XLOOKUP($D253,'Modelling New'!$D:$D,'Modelling New'!W:W),"")</f>
        <v>0.16193472334300082</v>
      </c>
      <c r="AG253" s="108">
        <f>IFERROR(_xlfn.XLOOKUP($D253,'Modelling New'!$D:$D,'Modelling New'!AE:AE),"")</f>
        <v>0.98040000000000005</v>
      </c>
      <c r="AH253" s="128">
        <f>IFERROR(_xlfn.XLOOKUP($D253,'Modelling New'!$D:$D,'Modelling New'!AF:AF),"")</f>
        <v>0.98</v>
      </c>
      <c r="AN253" s="105"/>
      <c r="AO253" s="108"/>
      <c r="AP253" s="108"/>
      <c r="AQ253" s="108"/>
      <c r="AR253" s="101">
        <f>'Basic Data'!$B$98/1000</f>
        <v>8.0208999999999993</v>
      </c>
      <c r="AT253" s="7" t="str">
        <f>IFERROR(_xlfn.XLOOKUP(Table13[[#This Row],[Date]],'Raw Data'!$G:$G,'Raw Data'!$AN:$AN),"")</f>
        <v/>
      </c>
      <c r="AU253" s="7">
        <f>IFERROR(_xlfn.XLOOKUP(Table13[[#This Row],[Month Year]],'Modelling New'!$D:$D,'Modelling New'!$AO:$AO),"")</f>
        <v>8</v>
      </c>
      <c r="AV253" s="7">
        <f>SUMIF('Curtailment Records'!$C:$C,Table13[[#This Row],[Date]],'Curtailment Records'!$R:$R)/1000</f>
        <v>0</v>
      </c>
    </row>
    <row r="254" spans="1:48" x14ac:dyDescent="0.3">
      <c r="A254" s="100">
        <f t="shared" si="19"/>
        <v>45997</v>
      </c>
      <c r="B254" s="101">
        <f>YEAR(Table13[[#This Row],[Date]])+IF(MONTH(Table13[[#This Row],[Date]])&gt;=4,1,0)</f>
        <v>2026</v>
      </c>
      <c r="C254" s="7">
        <f>YEAR(Table13[[#This Row],[Date]])</f>
        <v>2025</v>
      </c>
      <c r="D254" s="102">
        <f>Table13[[#This Row],[Date]]-DAY(Table13[[#This Row],[Date]])+1</f>
        <v>45992</v>
      </c>
      <c r="E254" s="7">
        <f t="shared" si="16"/>
        <v>31</v>
      </c>
      <c r="F254" s="103" t="str">
        <f>IFERROR(_xlfn.XLOOKUP($A254,'Raw Data'!$G:$G,'Raw Data'!$AM:$AM),"")</f>
        <v/>
      </c>
      <c r="G254" s="104" t="str">
        <f>IFERROR(_xlfn.XLOOKUP($A254,'Raw Data'!$G:$G,'Raw Data'!$AB:$AB),"")</f>
        <v/>
      </c>
      <c r="H254" s="104"/>
      <c r="I254" s="104" t="str">
        <f>IFERROR(_xlfn.XLOOKUP($A254,'Raw Data'!$G:$G,'Raw Data'!$AC:$AC),"")</f>
        <v/>
      </c>
      <c r="J254" s="104"/>
      <c r="K254" s="104" t="str">
        <f>IFERROR(_xlfn.XLOOKUP($A254,'Raw Data'!$G:$G,'Raw Data'!AD:AD),"")</f>
        <v/>
      </c>
      <c r="L254" s="104" t="str">
        <f>IFERROR(_xlfn.XLOOKUP($A254,'Raw Data'!$G:$G,'Raw Data'!AE:AE),"")</f>
        <v/>
      </c>
      <c r="M254" s="104" t="str">
        <f>IFERROR(_xlfn.XLOOKUP($A254,'Raw Data'!$G:$G,'Raw Data'!AF:AF),"")</f>
        <v/>
      </c>
      <c r="N254" s="104" t="str">
        <f>IFERROR(_xlfn.XLOOKUP($A254,'Raw Data'!$G:$G,'Raw Data'!AG:AG),"")</f>
        <v/>
      </c>
      <c r="O254" s="105" t="str">
        <f>IFERROR(1-SUMIF('Plant BD'!$B:$B,$A254,'Plant BD'!$AM:$AM)/($AA254+SUMIF('Plant BD'!$B:$B,$A254,'Plant BD'!$AM:$AM)),"")</f>
        <v/>
      </c>
      <c r="P254" s="105"/>
      <c r="Q254" s="106"/>
      <c r="R254" s="105" t="str">
        <f>IFERROR(1-SUMIF('Grid BD'!$B:$B,$A254,'Grid BD'!$AE:$AE)/($AA254+SUMIF('Grid BD'!$B:$B,$A254,'Grid BD'!$AE:$AE)),"")</f>
        <v/>
      </c>
      <c r="T254" s="106"/>
      <c r="U254" s="107" t="str">
        <f t="shared" si="17"/>
        <v/>
      </c>
      <c r="V254" s="107"/>
      <c r="W254" s="108" t="str">
        <f t="shared" si="18"/>
        <v/>
      </c>
      <c r="X254" s="101" t="str">
        <f>IFERROR(_xlfn.XLOOKUP($A254,'Raw Data'!$G:$G,'Raw Data'!AI:AI),"")</f>
        <v/>
      </c>
      <c r="Y254" s="101" t="str">
        <f>IFERROR(_xlfn.XLOOKUP($A254,'Raw Data'!$G:$G,'Raw Data'!AJ:AJ),"")</f>
        <v/>
      </c>
      <c r="Z254" s="101" t="str">
        <f>IFERROR(_xlfn.XLOOKUP($A254,'Raw Data'!$G:$G,'Raw Data'!AK:AK),"")</f>
        <v/>
      </c>
      <c r="AA254" s="101" t="str">
        <f>IFERROR(_xlfn.XLOOKUP($A254,'Raw Data'!$G:$G,'Raw Data'!$AL:$AL)*(1+(_xlfn.XLOOKUP(Table13[[#This Row],[Month Year]],JMR!$A:$A,JMR!$J:$J))),"")</f>
        <v/>
      </c>
      <c r="AB254" s="101" t="str">
        <f>IFERROR(_xlfn.XLOOKUP($A254,'Raw Data'!$G:$G,'Raw Data'!H:H),"")</f>
        <v/>
      </c>
      <c r="AC254" s="67">
        <f>IFERROR(_xlfn.XLOOKUP($D254,'Modelling New'!$D:$D,'Modelling New'!P:P),"")</f>
        <v>5.2806451612903222</v>
      </c>
      <c r="AD254" s="101">
        <f>IFERROR(_xlfn.XLOOKUP($D254,'Modelling New'!$D:$D,'Modelling New'!$T:$T)*1000,"")</f>
        <v>31172.693339085006</v>
      </c>
      <c r="AE254" s="109">
        <f>IFERROR(_xlfn.XLOOKUP($D254,'Modelling New'!$D:$D,'Modelling New'!O:O),"")</f>
        <v>0.73597699552347362</v>
      </c>
      <c r="AF254" s="108">
        <f>IFERROR(_xlfn.XLOOKUP($D254,'Modelling New'!$D:$D,'Modelling New'!W:W),"")</f>
        <v>0.16193472334300082</v>
      </c>
      <c r="AG254" s="108">
        <f>IFERROR(_xlfn.XLOOKUP($D254,'Modelling New'!$D:$D,'Modelling New'!AE:AE),"")</f>
        <v>0.98040000000000005</v>
      </c>
      <c r="AH254" s="128">
        <f>IFERROR(_xlfn.XLOOKUP($D254,'Modelling New'!$D:$D,'Modelling New'!AF:AF),"")</f>
        <v>0.98</v>
      </c>
      <c r="AN254" s="105"/>
      <c r="AO254" s="108"/>
      <c r="AP254" s="108"/>
      <c r="AQ254" s="108"/>
      <c r="AR254" s="101">
        <f>'Basic Data'!$B$98/1000</f>
        <v>8.0208999999999993</v>
      </c>
      <c r="AT254" s="7" t="str">
        <f>IFERROR(_xlfn.XLOOKUP(Table13[[#This Row],[Date]],'Raw Data'!$G:$G,'Raw Data'!$AN:$AN),"")</f>
        <v/>
      </c>
      <c r="AU254" s="7">
        <f>IFERROR(_xlfn.XLOOKUP(Table13[[#This Row],[Month Year]],'Modelling New'!$D:$D,'Modelling New'!$AO:$AO),"")</f>
        <v>8</v>
      </c>
      <c r="AV254" s="7">
        <f>SUMIF('Curtailment Records'!$C:$C,Table13[[#This Row],[Date]],'Curtailment Records'!$R:$R)/1000</f>
        <v>0</v>
      </c>
    </row>
    <row r="255" spans="1:48" x14ac:dyDescent="0.3">
      <c r="A255" s="100">
        <f t="shared" si="19"/>
        <v>45998</v>
      </c>
      <c r="B255" s="101">
        <f>YEAR(Table13[[#This Row],[Date]])+IF(MONTH(Table13[[#This Row],[Date]])&gt;=4,1,0)</f>
        <v>2026</v>
      </c>
      <c r="C255" s="7">
        <f>YEAR(Table13[[#This Row],[Date]])</f>
        <v>2025</v>
      </c>
      <c r="D255" s="102">
        <f>Table13[[#This Row],[Date]]-DAY(Table13[[#This Row],[Date]])+1</f>
        <v>45992</v>
      </c>
      <c r="E255" s="7">
        <f t="shared" si="16"/>
        <v>31</v>
      </c>
      <c r="F255" s="103" t="str">
        <f>IFERROR(_xlfn.XLOOKUP($A255,'Raw Data'!$G:$G,'Raw Data'!$AM:$AM),"")</f>
        <v/>
      </c>
      <c r="G255" s="104" t="str">
        <f>IFERROR(_xlfn.XLOOKUP($A255,'Raw Data'!$G:$G,'Raw Data'!$AB:$AB),"")</f>
        <v/>
      </c>
      <c r="H255" s="104"/>
      <c r="I255" s="104" t="str">
        <f>IFERROR(_xlfn.XLOOKUP($A255,'Raw Data'!$G:$G,'Raw Data'!$AC:$AC),"")</f>
        <v/>
      </c>
      <c r="J255" s="104"/>
      <c r="K255" s="104" t="str">
        <f>IFERROR(_xlfn.XLOOKUP($A255,'Raw Data'!$G:$G,'Raw Data'!AD:AD),"")</f>
        <v/>
      </c>
      <c r="L255" s="104" t="str">
        <f>IFERROR(_xlfn.XLOOKUP($A255,'Raw Data'!$G:$G,'Raw Data'!AE:AE),"")</f>
        <v/>
      </c>
      <c r="M255" s="104" t="str">
        <f>IFERROR(_xlfn.XLOOKUP($A255,'Raw Data'!$G:$G,'Raw Data'!AF:AF),"")</f>
        <v/>
      </c>
      <c r="N255" s="104" t="str">
        <f>IFERROR(_xlfn.XLOOKUP($A255,'Raw Data'!$G:$G,'Raw Data'!AG:AG),"")</f>
        <v/>
      </c>
      <c r="O255" s="105" t="str">
        <f>IFERROR(1-SUMIF('Plant BD'!$B:$B,$A255,'Plant BD'!$AM:$AM)/($AA255+SUMIF('Plant BD'!$B:$B,$A255,'Plant BD'!$AM:$AM)),"")</f>
        <v/>
      </c>
      <c r="P255" s="105"/>
      <c r="Q255" s="106"/>
      <c r="R255" s="105" t="str">
        <f>IFERROR(1-SUMIF('Grid BD'!$B:$B,$A255,'Grid BD'!$AE:$AE)/($AA255+SUMIF('Grid BD'!$B:$B,$A255,'Grid BD'!$AE:$AE)),"")</f>
        <v/>
      </c>
      <c r="T255" s="106"/>
      <c r="U255" s="107" t="str">
        <f t="shared" si="17"/>
        <v/>
      </c>
      <c r="V255" s="107"/>
      <c r="W255" s="108" t="str">
        <f t="shared" si="18"/>
        <v/>
      </c>
      <c r="X255" s="101" t="str">
        <f>IFERROR(_xlfn.XLOOKUP($A255,'Raw Data'!$G:$G,'Raw Data'!AI:AI),"")</f>
        <v/>
      </c>
      <c r="Y255" s="101" t="str">
        <f>IFERROR(_xlfn.XLOOKUP($A255,'Raw Data'!$G:$G,'Raw Data'!AJ:AJ),"")</f>
        <v/>
      </c>
      <c r="Z255" s="101" t="str">
        <f>IFERROR(_xlfn.XLOOKUP($A255,'Raw Data'!$G:$G,'Raw Data'!AK:AK),"")</f>
        <v/>
      </c>
      <c r="AA255" s="101" t="str">
        <f>IFERROR(_xlfn.XLOOKUP($A255,'Raw Data'!$G:$G,'Raw Data'!$AL:$AL)*(1+(_xlfn.XLOOKUP(Table13[[#This Row],[Month Year]],JMR!$A:$A,JMR!$J:$J))),"")</f>
        <v/>
      </c>
      <c r="AB255" s="101" t="str">
        <f>IFERROR(_xlfn.XLOOKUP($A255,'Raw Data'!$G:$G,'Raw Data'!H:H),"")</f>
        <v/>
      </c>
      <c r="AC255" s="67">
        <f>IFERROR(_xlfn.XLOOKUP($D255,'Modelling New'!$D:$D,'Modelling New'!P:P),"")</f>
        <v>5.2806451612903222</v>
      </c>
      <c r="AD255" s="101">
        <f>IFERROR(_xlfn.XLOOKUP($D255,'Modelling New'!$D:$D,'Modelling New'!$T:$T)*1000,"")</f>
        <v>31172.693339085006</v>
      </c>
      <c r="AE255" s="109">
        <f>IFERROR(_xlfn.XLOOKUP($D255,'Modelling New'!$D:$D,'Modelling New'!O:O),"")</f>
        <v>0.73597699552347362</v>
      </c>
      <c r="AF255" s="108">
        <f>IFERROR(_xlfn.XLOOKUP($D255,'Modelling New'!$D:$D,'Modelling New'!W:W),"")</f>
        <v>0.16193472334300082</v>
      </c>
      <c r="AG255" s="108">
        <f>IFERROR(_xlfn.XLOOKUP($D255,'Modelling New'!$D:$D,'Modelling New'!AE:AE),"")</f>
        <v>0.98040000000000005</v>
      </c>
      <c r="AH255" s="128">
        <f>IFERROR(_xlfn.XLOOKUP($D255,'Modelling New'!$D:$D,'Modelling New'!AF:AF),"")</f>
        <v>0.98</v>
      </c>
      <c r="AN255" s="105"/>
      <c r="AO255" s="108"/>
      <c r="AP255" s="108"/>
      <c r="AQ255" s="108"/>
      <c r="AR255" s="101">
        <f>'Basic Data'!$B$98/1000</f>
        <v>8.0208999999999993</v>
      </c>
      <c r="AT255" s="7" t="str">
        <f>IFERROR(_xlfn.XLOOKUP(Table13[[#This Row],[Date]],'Raw Data'!$G:$G,'Raw Data'!$AN:$AN),"")</f>
        <v/>
      </c>
      <c r="AU255" s="7">
        <f>IFERROR(_xlfn.XLOOKUP(Table13[[#This Row],[Month Year]],'Modelling New'!$D:$D,'Modelling New'!$AO:$AO),"")</f>
        <v>8</v>
      </c>
      <c r="AV255" s="7">
        <f>SUMIF('Curtailment Records'!$C:$C,Table13[[#This Row],[Date]],'Curtailment Records'!$R:$R)/1000</f>
        <v>0</v>
      </c>
    </row>
    <row r="256" spans="1:48" x14ac:dyDescent="0.3">
      <c r="A256" s="100">
        <f t="shared" si="19"/>
        <v>45999</v>
      </c>
      <c r="B256" s="101">
        <f>YEAR(Table13[[#This Row],[Date]])+IF(MONTH(Table13[[#This Row],[Date]])&gt;=4,1,0)</f>
        <v>2026</v>
      </c>
      <c r="C256" s="7">
        <f>YEAR(Table13[[#This Row],[Date]])</f>
        <v>2025</v>
      </c>
      <c r="D256" s="102">
        <f>Table13[[#This Row],[Date]]-DAY(Table13[[#This Row],[Date]])+1</f>
        <v>45992</v>
      </c>
      <c r="E256" s="7">
        <f t="shared" si="16"/>
        <v>31</v>
      </c>
      <c r="F256" s="103" t="str">
        <f>IFERROR(_xlfn.XLOOKUP($A256,'Raw Data'!$G:$G,'Raw Data'!$AM:$AM),"")</f>
        <v/>
      </c>
      <c r="G256" s="104" t="str">
        <f>IFERROR(_xlfn.XLOOKUP($A256,'Raw Data'!$G:$G,'Raw Data'!$AB:$AB),"")</f>
        <v/>
      </c>
      <c r="H256" s="104"/>
      <c r="I256" s="104" t="str">
        <f>IFERROR(_xlfn.XLOOKUP($A256,'Raw Data'!$G:$G,'Raw Data'!$AC:$AC),"")</f>
        <v/>
      </c>
      <c r="J256" s="104"/>
      <c r="K256" s="104" t="str">
        <f>IFERROR(_xlfn.XLOOKUP($A256,'Raw Data'!$G:$G,'Raw Data'!AD:AD),"")</f>
        <v/>
      </c>
      <c r="L256" s="104" t="str">
        <f>IFERROR(_xlfn.XLOOKUP($A256,'Raw Data'!$G:$G,'Raw Data'!AE:AE),"")</f>
        <v/>
      </c>
      <c r="M256" s="104" t="str">
        <f>IFERROR(_xlfn.XLOOKUP($A256,'Raw Data'!$G:$G,'Raw Data'!AF:AF),"")</f>
        <v/>
      </c>
      <c r="N256" s="104" t="str">
        <f>IFERROR(_xlfn.XLOOKUP($A256,'Raw Data'!$G:$G,'Raw Data'!AG:AG),"")</f>
        <v/>
      </c>
      <c r="O256" s="105" t="str">
        <f>IFERROR(1-SUMIF('Plant BD'!$B:$B,$A256,'Plant BD'!$AM:$AM)/($AA256+SUMIF('Plant BD'!$B:$B,$A256,'Plant BD'!$AM:$AM)),"")</f>
        <v/>
      </c>
      <c r="P256" s="105"/>
      <c r="Q256" s="106"/>
      <c r="R256" s="105" t="str">
        <f>IFERROR(1-SUMIF('Grid BD'!$B:$B,$A256,'Grid BD'!$AE:$AE)/($AA256+SUMIF('Grid BD'!$B:$B,$A256,'Grid BD'!$AE:$AE)),"")</f>
        <v/>
      </c>
      <c r="T256" s="106"/>
      <c r="U256" s="107" t="str">
        <f t="shared" si="17"/>
        <v/>
      </c>
      <c r="V256" s="107"/>
      <c r="W256" s="108" t="str">
        <f t="shared" si="18"/>
        <v/>
      </c>
      <c r="X256" s="101" t="str">
        <f>IFERROR(_xlfn.XLOOKUP($A256,'Raw Data'!$G:$G,'Raw Data'!AI:AI),"")</f>
        <v/>
      </c>
      <c r="Y256" s="101" t="str">
        <f>IFERROR(_xlfn.XLOOKUP($A256,'Raw Data'!$G:$G,'Raw Data'!AJ:AJ),"")</f>
        <v/>
      </c>
      <c r="Z256" s="101" t="str">
        <f>IFERROR(_xlfn.XLOOKUP($A256,'Raw Data'!$G:$G,'Raw Data'!AK:AK),"")</f>
        <v/>
      </c>
      <c r="AA256" s="101" t="str">
        <f>IFERROR(_xlfn.XLOOKUP($A256,'Raw Data'!$G:$G,'Raw Data'!$AL:$AL)*(1+(_xlfn.XLOOKUP(Table13[[#This Row],[Month Year]],JMR!$A:$A,JMR!$J:$J))),"")</f>
        <v/>
      </c>
      <c r="AB256" s="101" t="str">
        <f>IFERROR(_xlfn.XLOOKUP($A256,'Raw Data'!$G:$G,'Raw Data'!H:H),"")</f>
        <v/>
      </c>
      <c r="AC256" s="67">
        <f>IFERROR(_xlfn.XLOOKUP($D256,'Modelling New'!$D:$D,'Modelling New'!P:P),"")</f>
        <v>5.2806451612903222</v>
      </c>
      <c r="AD256" s="101">
        <f>IFERROR(_xlfn.XLOOKUP($D256,'Modelling New'!$D:$D,'Modelling New'!$T:$T)*1000,"")</f>
        <v>31172.693339085006</v>
      </c>
      <c r="AE256" s="109">
        <f>IFERROR(_xlfn.XLOOKUP($D256,'Modelling New'!$D:$D,'Modelling New'!O:O),"")</f>
        <v>0.73597699552347362</v>
      </c>
      <c r="AF256" s="108">
        <f>IFERROR(_xlfn.XLOOKUP($D256,'Modelling New'!$D:$D,'Modelling New'!W:W),"")</f>
        <v>0.16193472334300082</v>
      </c>
      <c r="AG256" s="108">
        <f>IFERROR(_xlfn.XLOOKUP($D256,'Modelling New'!$D:$D,'Modelling New'!AE:AE),"")</f>
        <v>0.98040000000000005</v>
      </c>
      <c r="AH256" s="128">
        <f>IFERROR(_xlfn.XLOOKUP($D256,'Modelling New'!$D:$D,'Modelling New'!AF:AF),"")</f>
        <v>0.98</v>
      </c>
      <c r="AN256" s="105"/>
      <c r="AO256" s="108"/>
      <c r="AP256" s="108"/>
      <c r="AQ256" s="108"/>
      <c r="AR256" s="101">
        <f>'Basic Data'!$B$98/1000</f>
        <v>8.0208999999999993</v>
      </c>
      <c r="AT256" s="7" t="str">
        <f>IFERROR(_xlfn.XLOOKUP(Table13[[#This Row],[Date]],'Raw Data'!$G:$G,'Raw Data'!$AN:$AN),"")</f>
        <v/>
      </c>
      <c r="AU256" s="7">
        <f>IFERROR(_xlfn.XLOOKUP(Table13[[#This Row],[Month Year]],'Modelling New'!$D:$D,'Modelling New'!$AO:$AO),"")</f>
        <v>8</v>
      </c>
      <c r="AV256" s="7">
        <f>SUMIF('Curtailment Records'!$C:$C,Table13[[#This Row],[Date]],'Curtailment Records'!$R:$R)/1000</f>
        <v>0</v>
      </c>
    </row>
    <row r="257" spans="1:48" x14ac:dyDescent="0.3">
      <c r="A257" s="100">
        <f t="shared" si="19"/>
        <v>46000</v>
      </c>
      <c r="B257" s="101">
        <f>YEAR(Table13[[#This Row],[Date]])+IF(MONTH(Table13[[#This Row],[Date]])&gt;=4,1,0)</f>
        <v>2026</v>
      </c>
      <c r="C257" s="7">
        <f>YEAR(Table13[[#This Row],[Date]])</f>
        <v>2025</v>
      </c>
      <c r="D257" s="102">
        <f>Table13[[#This Row],[Date]]-DAY(Table13[[#This Row],[Date]])+1</f>
        <v>45992</v>
      </c>
      <c r="E257" s="7">
        <f t="shared" si="16"/>
        <v>31</v>
      </c>
      <c r="F257" s="103" t="str">
        <f>IFERROR(_xlfn.XLOOKUP($A257,'Raw Data'!$G:$G,'Raw Data'!$AM:$AM),"")</f>
        <v/>
      </c>
      <c r="G257" s="104" t="str">
        <f>IFERROR(_xlfn.XLOOKUP($A257,'Raw Data'!$G:$G,'Raw Data'!$AB:$AB),"")</f>
        <v/>
      </c>
      <c r="H257" s="104"/>
      <c r="I257" s="104" t="str">
        <f>IFERROR(_xlfn.XLOOKUP($A257,'Raw Data'!$G:$G,'Raw Data'!$AC:$AC),"")</f>
        <v/>
      </c>
      <c r="J257" s="104"/>
      <c r="K257" s="104" t="str">
        <f>IFERROR(_xlfn.XLOOKUP($A257,'Raw Data'!$G:$G,'Raw Data'!AD:AD),"")</f>
        <v/>
      </c>
      <c r="L257" s="104" t="str">
        <f>IFERROR(_xlfn.XLOOKUP($A257,'Raw Data'!$G:$G,'Raw Data'!AE:AE),"")</f>
        <v/>
      </c>
      <c r="M257" s="104" t="str">
        <f>IFERROR(_xlfn.XLOOKUP($A257,'Raw Data'!$G:$G,'Raw Data'!AF:AF),"")</f>
        <v/>
      </c>
      <c r="N257" s="104" t="str">
        <f>IFERROR(_xlfn.XLOOKUP($A257,'Raw Data'!$G:$G,'Raw Data'!AG:AG),"")</f>
        <v/>
      </c>
      <c r="O257" s="105" t="str">
        <f>IFERROR(1-SUMIF('Plant BD'!$B:$B,$A257,'Plant BD'!$AM:$AM)/($AA257+SUMIF('Plant BD'!$B:$B,$A257,'Plant BD'!$AM:$AM)),"")</f>
        <v/>
      </c>
      <c r="P257" s="105"/>
      <c r="Q257" s="106"/>
      <c r="R257" s="105" t="str">
        <f>IFERROR(1-SUMIF('Grid BD'!$B:$B,$A257,'Grid BD'!$AE:$AE)/($AA257+SUMIF('Grid BD'!$B:$B,$A257,'Grid BD'!$AE:$AE)),"")</f>
        <v/>
      </c>
      <c r="T257" s="106"/>
      <c r="U257" s="107" t="str">
        <f t="shared" si="17"/>
        <v/>
      </c>
      <c r="V257" s="107"/>
      <c r="W257" s="108" t="str">
        <f t="shared" si="18"/>
        <v/>
      </c>
      <c r="X257" s="101" t="str">
        <f>IFERROR(_xlfn.XLOOKUP($A257,'Raw Data'!$G:$G,'Raw Data'!AI:AI),"")</f>
        <v/>
      </c>
      <c r="Y257" s="101" t="str">
        <f>IFERROR(_xlfn.XLOOKUP($A257,'Raw Data'!$G:$G,'Raw Data'!AJ:AJ),"")</f>
        <v/>
      </c>
      <c r="Z257" s="101" t="str">
        <f>IFERROR(_xlfn.XLOOKUP($A257,'Raw Data'!$G:$G,'Raw Data'!AK:AK),"")</f>
        <v/>
      </c>
      <c r="AA257" s="101" t="str">
        <f>IFERROR(_xlfn.XLOOKUP($A257,'Raw Data'!$G:$G,'Raw Data'!$AL:$AL)*(1+(_xlfn.XLOOKUP(Table13[[#This Row],[Month Year]],JMR!$A:$A,JMR!$J:$J))),"")</f>
        <v/>
      </c>
      <c r="AB257" s="101" t="str">
        <f>IFERROR(_xlfn.XLOOKUP($A257,'Raw Data'!$G:$G,'Raw Data'!H:H),"")</f>
        <v/>
      </c>
      <c r="AC257" s="67">
        <f>IFERROR(_xlfn.XLOOKUP($D257,'Modelling New'!$D:$D,'Modelling New'!P:P),"")</f>
        <v>5.2806451612903222</v>
      </c>
      <c r="AD257" s="101">
        <f>IFERROR(_xlfn.XLOOKUP($D257,'Modelling New'!$D:$D,'Modelling New'!$T:$T)*1000,"")</f>
        <v>31172.693339085006</v>
      </c>
      <c r="AE257" s="109">
        <f>IFERROR(_xlfn.XLOOKUP($D257,'Modelling New'!$D:$D,'Modelling New'!O:O),"")</f>
        <v>0.73597699552347362</v>
      </c>
      <c r="AF257" s="108">
        <f>IFERROR(_xlfn.XLOOKUP($D257,'Modelling New'!$D:$D,'Modelling New'!W:W),"")</f>
        <v>0.16193472334300082</v>
      </c>
      <c r="AG257" s="108">
        <f>IFERROR(_xlfn.XLOOKUP($D257,'Modelling New'!$D:$D,'Modelling New'!AE:AE),"")</f>
        <v>0.98040000000000005</v>
      </c>
      <c r="AH257" s="128">
        <f>IFERROR(_xlfn.XLOOKUP($D257,'Modelling New'!$D:$D,'Modelling New'!AF:AF),"")</f>
        <v>0.98</v>
      </c>
      <c r="AN257" s="105"/>
      <c r="AO257" s="108"/>
      <c r="AP257" s="108"/>
      <c r="AQ257" s="108"/>
      <c r="AR257" s="101">
        <f>'Basic Data'!$B$98/1000</f>
        <v>8.0208999999999993</v>
      </c>
      <c r="AT257" s="7" t="str">
        <f>IFERROR(_xlfn.XLOOKUP(Table13[[#This Row],[Date]],'Raw Data'!$G:$G,'Raw Data'!$AN:$AN),"")</f>
        <v/>
      </c>
      <c r="AU257" s="7">
        <f>IFERROR(_xlfn.XLOOKUP(Table13[[#This Row],[Month Year]],'Modelling New'!$D:$D,'Modelling New'!$AO:$AO),"")</f>
        <v>8</v>
      </c>
      <c r="AV257" s="7">
        <f>SUMIF('Curtailment Records'!$C:$C,Table13[[#This Row],[Date]],'Curtailment Records'!$R:$R)/1000</f>
        <v>0</v>
      </c>
    </row>
    <row r="258" spans="1:48" x14ac:dyDescent="0.3">
      <c r="A258" s="100">
        <f t="shared" si="19"/>
        <v>46001</v>
      </c>
      <c r="B258" s="101">
        <f>YEAR(Table13[[#This Row],[Date]])+IF(MONTH(Table13[[#This Row],[Date]])&gt;=4,1,0)</f>
        <v>2026</v>
      </c>
      <c r="C258" s="7">
        <f>YEAR(Table13[[#This Row],[Date]])</f>
        <v>2025</v>
      </c>
      <c r="D258" s="102">
        <f>Table13[[#This Row],[Date]]-DAY(Table13[[#This Row],[Date]])+1</f>
        <v>45992</v>
      </c>
      <c r="E258" s="7">
        <f t="shared" si="16"/>
        <v>31</v>
      </c>
      <c r="F258" s="103" t="str">
        <f>IFERROR(_xlfn.XLOOKUP($A258,'Raw Data'!$G:$G,'Raw Data'!$AM:$AM),"")</f>
        <v/>
      </c>
      <c r="G258" s="104" t="str">
        <f>IFERROR(_xlfn.XLOOKUP($A258,'Raw Data'!$G:$G,'Raw Data'!$AB:$AB),"")</f>
        <v/>
      </c>
      <c r="H258" s="104"/>
      <c r="I258" s="104" t="str">
        <f>IFERROR(_xlfn.XLOOKUP($A258,'Raw Data'!$G:$G,'Raw Data'!$AC:$AC),"")</f>
        <v/>
      </c>
      <c r="J258" s="104"/>
      <c r="K258" s="104" t="str">
        <f>IFERROR(_xlfn.XLOOKUP($A258,'Raw Data'!$G:$G,'Raw Data'!AD:AD),"")</f>
        <v/>
      </c>
      <c r="L258" s="104" t="str">
        <f>IFERROR(_xlfn.XLOOKUP($A258,'Raw Data'!$G:$G,'Raw Data'!AE:AE),"")</f>
        <v/>
      </c>
      <c r="M258" s="104" t="str">
        <f>IFERROR(_xlfn.XLOOKUP($A258,'Raw Data'!$G:$G,'Raw Data'!AF:AF),"")</f>
        <v/>
      </c>
      <c r="N258" s="104" t="str">
        <f>IFERROR(_xlfn.XLOOKUP($A258,'Raw Data'!$G:$G,'Raw Data'!AG:AG),"")</f>
        <v/>
      </c>
      <c r="O258" s="105" t="str">
        <f>IFERROR(1-SUMIF('Plant BD'!$B:$B,$A258,'Plant BD'!$AM:$AM)/($AA258+SUMIF('Plant BD'!$B:$B,$A258,'Plant BD'!$AM:$AM)),"")</f>
        <v/>
      </c>
      <c r="P258" s="105"/>
      <c r="Q258" s="106"/>
      <c r="R258" s="105" t="str">
        <f>IFERROR(1-SUMIF('Grid BD'!$B:$B,$A258,'Grid BD'!$AE:$AE)/($AA258+SUMIF('Grid BD'!$B:$B,$A258,'Grid BD'!$AE:$AE)),"")</f>
        <v/>
      </c>
      <c r="T258" s="106"/>
      <c r="U258" s="107" t="str">
        <f t="shared" si="17"/>
        <v/>
      </c>
      <c r="V258" s="107"/>
      <c r="W258" s="108" t="str">
        <f t="shared" si="18"/>
        <v/>
      </c>
      <c r="X258" s="101" t="str">
        <f>IFERROR(_xlfn.XLOOKUP($A258,'Raw Data'!$G:$G,'Raw Data'!AI:AI),"")</f>
        <v/>
      </c>
      <c r="Y258" s="101" t="str">
        <f>IFERROR(_xlfn.XLOOKUP($A258,'Raw Data'!$G:$G,'Raw Data'!AJ:AJ),"")</f>
        <v/>
      </c>
      <c r="Z258" s="101" t="str">
        <f>IFERROR(_xlfn.XLOOKUP($A258,'Raw Data'!$G:$G,'Raw Data'!AK:AK),"")</f>
        <v/>
      </c>
      <c r="AA258" s="101" t="str">
        <f>IFERROR(_xlfn.XLOOKUP($A258,'Raw Data'!$G:$G,'Raw Data'!$AL:$AL)*(1+(_xlfn.XLOOKUP(Table13[[#This Row],[Month Year]],JMR!$A:$A,JMR!$J:$J))),"")</f>
        <v/>
      </c>
      <c r="AB258" s="101" t="str">
        <f>IFERROR(_xlfn.XLOOKUP($A258,'Raw Data'!$G:$G,'Raw Data'!H:H),"")</f>
        <v/>
      </c>
      <c r="AC258" s="67">
        <f>IFERROR(_xlfn.XLOOKUP($D258,'Modelling New'!$D:$D,'Modelling New'!P:P),"")</f>
        <v>5.2806451612903222</v>
      </c>
      <c r="AD258" s="101">
        <f>IFERROR(_xlfn.XLOOKUP($D258,'Modelling New'!$D:$D,'Modelling New'!$T:$T)*1000,"")</f>
        <v>31172.693339085006</v>
      </c>
      <c r="AE258" s="109">
        <f>IFERROR(_xlfn.XLOOKUP($D258,'Modelling New'!$D:$D,'Modelling New'!O:O),"")</f>
        <v>0.73597699552347362</v>
      </c>
      <c r="AF258" s="108">
        <f>IFERROR(_xlfn.XLOOKUP($D258,'Modelling New'!$D:$D,'Modelling New'!W:W),"")</f>
        <v>0.16193472334300082</v>
      </c>
      <c r="AG258" s="108">
        <f>IFERROR(_xlfn.XLOOKUP($D258,'Modelling New'!$D:$D,'Modelling New'!AE:AE),"")</f>
        <v>0.98040000000000005</v>
      </c>
      <c r="AH258" s="128">
        <f>IFERROR(_xlfn.XLOOKUP($D258,'Modelling New'!$D:$D,'Modelling New'!AF:AF),"")</f>
        <v>0.98</v>
      </c>
      <c r="AN258" s="105"/>
      <c r="AO258" s="108"/>
      <c r="AP258" s="108"/>
      <c r="AQ258" s="108"/>
      <c r="AR258" s="101">
        <f>'Basic Data'!$B$98/1000</f>
        <v>8.0208999999999993</v>
      </c>
      <c r="AT258" s="7" t="str">
        <f>IFERROR(_xlfn.XLOOKUP(Table13[[#This Row],[Date]],'Raw Data'!$G:$G,'Raw Data'!$AN:$AN),"")</f>
        <v/>
      </c>
      <c r="AU258" s="7">
        <f>IFERROR(_xlfn.XLOOKUP(Table13[[#This Row],[Month Year]],'Modelling New'!$D:$D,'Modelling New'!$AO:$AO),"")</f>
        <v>8</v>
      </c>
      <c r="AV258" s="7">
        <f>SUMIF('Curtailment Records'!$C:$C,Table13[[#This Row],[Date]],'Curtailment Records'!$R:$R)/1000</f>
        <v>0</v>
      </c>
    </row>
    <row r="259" spans="1:48" x14ac:dyDescent="0.3">
      <c r="A259" s="100">
        <f t="shared" si="19"/>
        <v>46002</v>
      </c>
      <c r="B259" s="101">
        <f>YEAR(Table13[[#This Row],[Date]])+IF(MONTH(Table13[[#This Row],[Date]])&gt;=4,1,0)</f>
        <v>2026</v>
      </c>
      <c r="C259" s="7">
        <f>YEAR(Table13[[#This Row],[Date]])</f>
        <v>2025</v>
      </c>
      <c r="D259" s="102">
        <f>Table13[[#This Row],[Date]]-DAY(Table13[[#This Row],[Date]])+1</f>
        <v>45992</v>
      </c>
      <c r="E259" s="7">
        <f t="shared" si="16"/>
        <v>31</v>
      </c>
      <c r="F259" s="103" t="str">
        <f>IFERROR(_xlfn.XLOOKUP($A259,'Raw Data'!$G:$G,'Raw Data'!$AM:$AM),"")</f>
        <v/>
      </c>
      <c r="G259" s="104" t="str">
        <f>IFERROR(_xlfn.XLOOKUP($A259,'Raw Data'!$G:$G,'Raw Data'!$AB:$AB),"")</f>
        <v/>
      </c>
      <c r="H259" s="104"/>
      <c r="I259" s="104" t="str">
        <f>IFERROR(_xlfn.XLOOKUP($A259,'Raw Data'!$G:$G,'Raw Data'!$AC:$AC),"")</f>
        <v/>
      </c>
      <c r="J259" s="104"/>
      <c r="K259" s="104" t="str">
        <f>IFERROR(_xlfn.XLOOKUP($A259,'Raw Data'!$G:$G,'Raw Data'!AD:AD),"")</f>
        <v/>
      </c>
      <c r="L259" s="104" t="str">
        <f>IFERROR(_xlfn.XLOOKUP($A259,'Raw Data'!$G:$G,'Raw Data'!AE:AE),"")</f>
        <v/>
      </c>
      <c r="M259" s="104" t="str">
        <f>IFERROR(_xlfn.XLOOKUP($A259,'Raw Data'!$G:$G,'Raw Data'!AF:AF),"")</f>
        <v/>
      </c>
      <c r="N259" s="104" t="str">
        <f>IFERROR(_xlfn.XLOOKUP($A259,'Raw Data'!$G:$G,'Raw Data'!AG:AG),"")</f>
        <v/>
      </c>
      <c r="O259" s="105" t="str">
        <f>IFERROR(1-SUMIF('Plant BD'!$B:$B,$A259,'Plant BD'!$AM:$AM)/($AA259+SUMIF('Plant BD'!$B:$B,$A259,'Plant BD'!$AM:$AM)),"")</f>
        <v/>
      </c>
      <c r="P259" s="105"/>
      <c r="Q259" s="106"/>
      <c r="R259" s="105" t="str">
        <f>IFERROR(1-SUMIF('Grid BD'!$B:$B,$A259,'Grid BD'!$AE:$AE)/($AA259+SUMIF('Grid BD'!$B:$B,$A259,'Grid BD'!$AE:$AE)),"")</f>
        <v/>
      </c>
      <c r="T259" s="106"/>
      <c r="U259" s="107" t="str">
        <f t="shared" si="17"/>
        <v/>
      </c>
      <c r="V259" s="107"/>
      <c r="W259" s="108" t="str">
        <f t="shared" si="18"/>
        <v/>
      </c>
      <c r="X259" s="101" t="str">
        <f>IFERROR(_xlfn.XLOOKUP($A259,'Raw Data'!$G:$G,'Raw Data'!AI:AI),"")</f>
        <v/>
      </c>
      <c r="Y259" s="101" t="str">
        <f>IFERROR(_xlfn.XLOOKUP($A259,'Raw Data'!$G:$G,'Raw Data'!AJ:AJ),"")</f>
        <v/>
      </c>
      <c r="Z259" s="101" t="str">
        <f>IFERROR(_xlfn.XLOOKUP($A259,'Raw Data'!$G:$G,'Raw Data'!AK:AK),"")</f>
        <v/>
      </c>
      <c r="AA259" s="101" t="str">
        <f>IFERROR(_xlfn.XLOOKUP($A259,'Raw Data'!$G:$G,'Raw Data'!$AL:$AL)*(1+(_xlfn.XLOOKUP(Table13[[#This Row],[Month Year]],JMR!$A:$A,JMR!$J:$J))),"")</f>
        <v/>
      </c>
      <c r="AB259" s="101" t="str">
        <f>IFERROR(_xlfn.XLOOKUP($A259,'Raw Data'!$G:$G,'Raw Data'!H:H),"")</f>
        <v/>
      </c>
      <c r="AC259" s="67">
        <f>IFERROR(_xlfn.XLOOKUP($D259,'Modelling New'!$D:$D,'Modelling New'!P:P),"")</f>
        <v>5.2806451612903222</v>
      </c>
      <c r="AD259" s="101">
        <f>IFERROR(_xlfn.XLOOKUP($D259,'Modelling New'!$D:$D,'Modelling New'!$T:$T)*1000,"")</f>
        <v>31172.693339085006</v>
      </c>
      <c r="AE259" s="109">
        <f>IFERROR(_xlfn.XLOOKUP($D259,'Modelling New'!$D:$D,'Modelling New'!O:O),"")</f>
        <v>0.73597699552347362</v>
      </c>
      <c r="AF259" s="108">
        <f>IFERROR(_xlfn.XLOOKUP($D259,'Modelling New'!$D:$D,'Modelling New'!W:W),"")</f>
        <v>0.16193472334300082</v>
      </c>
      <c r="AG259" s="108">
        <f>IFERROR(_xlfn.XLOOKUP($D259,'Modelling New'!$D:$D,'Modelling New'!AE:AE),"")</f>
        <v>0.98040000000000005</v>
      </c>
      <c r="AH259" s="128">
        <f>IFERROR(_xlfn.XLOOKUP($D259,'Modelling New'!$D:$D,'Modelling New'!AF:AF),"")</f>
        <v>0.98</v>
      </c>
      <c r="AN259" s="105"/>
      <c r="AO259" s="108"/>
      <c r="AP259" s="108"/>
      <c r="AQ259" s="108"/>
      <c r="AR259" s="101">
        <f>'Basic Data'!$B$98/1000</f>
        <v>8.0208999999999993</v>
      </c>
      <c r="AT259" s="7" t="str">
        <f>IFERROR(_xlfn.XLOOKUP(Table13[[#This Row],[Date]],'Raw Data'!$G:$G,'Raw Data'!$AN:$AN),"")</f>
        <v/>
      </c>
      <c r="AU259" s="7">
        <f>IFERROR(_xlfn.XLOOKUP(Table13[[#This Row],[Month Year]],'Modelling New'!$D:$D,'Modelling New'!$AO:$AO),"")</f>
        <v>8</v>
      </c>
      <c r="AV259" s="7">
        <f>SUMIF('Curtailment Records'!$C:$C,Table13[[#This Row],[Date]],'Curtailment Records'!$R:$R)/1000</f>
        <v>0</v>
      </c>
    </row>
    <row r="260" spans="1:48" x14ac:dyDescent="0.3">
      <c r="A260" s="100">
        <f t="shared" si="19"/>
        <v>46003</v>
      </c>
      <c r="B260" s="101">
        <f>YEAR(Table13[[#This Row],[Date]])+IF(MONTH(Table13[[#This Row],[Date]])&gt;=4,1,0)</f>
        <v>2026</v>
      </c>
      <c r="C260" s="7">
        <f>YEAR(Table13[[#This Row],[Date]])</f>
        <v>2025</v>
      </c>
      <c r="D260" s="102">
        <f>Table13[[#This Row],[Date]]-DAY(Table13[[#This Row],[Date]])+1</f>
        <v>45992</v>
      </c>
      <c r="E260" s="7">
        <f t="shared" si="16"/>
        <v>31</v>
      </c>
      <c r="F260" s="103" t="str">
        <f>IFERROR(_xlfn.XLOOKUP($A260,'Raw Data'!$G:$G,'Raw Data'!$AM:$AM),"")</f>
        <v/>
      </c>
      <c r="G260" s="104" t="str">
        <f>IFERROR(_xlfn.XLOOKUP($A260,'Raw Data'!$G:$G,'Raw Data'!$AB:$AB),"")</f>
        <v/>
      </c>
      <c r="H260" s="104"/>
      <c r="I260" s="104" t="str">
        <f>IFERROR(_xlfn.XLOOKUP($A260,'Raw Data'!$G:$G,'Raw Data'!$AC:$AC),"")</f>
        <v/>
      </c>
      <c r="J260" s="104"/>
      <c r="K260" s="104" t="str">
        <f>IFERROR(_xlfn.XLOOKUP($A260,'Raw Data'!$G:$G,'Raw Data'!AD:AD),"")</f>
        <v/>
      </c>
      <c r="L260" s="104" t="str">
        <f>IFERROR(_xlfn.XLOOKUP($A260,'Raw Data'!$G:$G,'Raw Data'!AE:AE),"")</f>
        <v/>
      </c>
      <c r="M260" s="104" t="str">
        <f>IFERROR(_xlfn.XLOOKUP($A260,'Raw Data'!$G:$G,'Raw Data'!AF:AF),"")</f>
        <v/>
      </c>
      <c r="N260" s="104" t="str">
        <f>IFERROR(_xlfn.XLOOKUP($A260,'Raw Data'!$G:$G,'Raw Data'!AG:AG),"")</f>
        <v/>
      </c>
      <c r="O260" s="105" t="str">
        <f>IFERROR(1-SUMIF('Plant BD'!$B:$B,$A260,'Plant BD'!$AM:$AM)/($AA260+SUMIF('Plant BD'!$B:$B,$A260,'Plant BD'!$AM:$AM)),"")</f>
        <v/>
      </c>
      <c r="P260" s="105"/>
      <c r="Q260" s="106"/>
      <c r="R260" s="105" t="str">
        <f>IFERROR(1-SUMIF('Grid BD'!$B:$B,$A260,'Grid BD'!$AE:$AE)/($AA260+SUMIF('Grid BD'!$B:$B,$A260,'Grid BD'!$AE:$AE)),"")</f>
        <v/>
      </c>
      <c r="T260" s="106"/>
      <c r="U260" s="107" t="str">
        <f t="shared" si="17"/>
        <v/>
      </c>
      <c r="V260" s="107"/>
      <c r="W260" s="108" t="str">
        <f t="shared" si="18"/>
        <v/>
      </c>
      <c r="X260" s="101" t="str">
        <f>IFERROR(_xlfn.XLOOKUP($A260,'Raw Data'!$G:$G,'Raw Data'!AI:AI),"")</f>
        <v/>
      </c>
      <c r="Y260" s="101" t="str">
        <f>IFERROR(_xlfn.XLOOKUP($A260,'Raw Data'!$G:$G,'Raw Data'!AJ:AJ),"")</f>
        <v/>
      </c>
      <c r="Z260" s="101" t="str">
        <f>IFERROR(_xlfn.XLOOKUP($A260,'Raw Data'!$G:$G,'Raw Data'!AK:AK),"")</f>
        <v/>
      </c>
      <c r="AA260" s="101" t="str">
        <f>IFERROR(_xlfn.XLOOKUP($A260,'Raw Data'!$G:$G,'Raw Data'!$AL:$AL)*(1+(_xlfn.XLOOKUP(Table13[[#This Row],[Month Year]],JMR!$A:$A,JMR!$J:$J))),"")</f>
        <v/>
      </c>
      <c r="AB260" s="101" t="str">
        <f>IFERROR(_xlfn.XLOOKUP($A260,'Raw Data'!$G:$G,'Raw Data'!H:H),"")</f>
        <v/>
      </c>
      <c r="AC260" s="67">
        <f>IFERROR(_xlfn.XLOOKUP($D260,'Modelling New'!$D:$D,'Modelling New'!P:P),"")</f>
        <v>5.2806451612903222</v>
      </c>
      <c r="AD260" s="101">
        <f>IFERROR(_xlfn.XLOOKUP($D260,'Modelling New'!$D:$D,'Modelling New'!$T:$T)*1000,"")</f>
        <v>31172.693339085006</v>
      </c>
      <c r="AE260" s="109">
        <f>IFERROR(_xlfn.XLOOKUP($D260,'Modelling New'!$D:$D,'Modelling New'!O:O),"")</f>
        <v>0.73597699552347362</v>
      </c>
      <c r="AF260" s="108">
        <f>IFERROR(_xlfn.XLOOKUP($D260,'Modelling New'!$D:$D,'Modelling New'!W:W),"")</f>
        <v>0.16193472334300082</v>
      </c>
      <c r="AG260" s="108">
        <f>IFERROR(_xlfn.XLOOKUP($D260,'Modelling New'!$D:$D,'Modelling New'!AE:AE),"")</f>
        <v>0.98040000000000005</v>
      </c>
      <c r="AH260" s="128">
        <f>IFERROR(_xlfn.XLOOKUP($D260,'Modelling New'!$D:$D,'Modelling New'!AF:AF),"")</f>
        <v>0.98</v>
      </c>
      <c r="AN260" s="105"/>
      <c r="AO260" s="108"/>
      <c r="AP260" s="108"/>
      <c r="AQ260" s="108"/>
      <c r="AR260" s="101">
        <f>'Basic Data'!$B$98/1000</f>
        <v>8.0208999999999993</v>
      </c>
      <c r="AT260" s="7" t="str">
        <f>IFERROR(_xlfn.XLOOKUP(Table13[[#This Row],[Date]],'Raw Data'!$G:$G,'Raw Data'!$AN:$AN),"")</f>
        <v/>
      </c>
      <c r="AU260" s="7">
        <f>IFERROR(_xlfn.XLOOKUP(Table13[[#This Row],[Month Year]],'Modelling New'!$D:$D,'Modelling New'!$AO:$AO),"")</f>
        <v>8</v>
      </c>
      <c r="AV260" s="7">
        <f>SUMIF('Curtailment Records'!$C:$C,Table13[[#This Row],[Date]],'Curtailment Records'!$R:$R)/1000</f>
        <v>0</v>
      </c>
    </row>
    <row r="261" spans="1:48" x14ac:dyDescent="0.3">
      <c r="A261" s="100">
        <f t="shared" si="19"/>
        <v>46004</v>
      </c>
      <c r="B261" s="101">
        <f>YEAR(Table13[[#This Row],[Date]])+IF(MONTH(Table13[[#This Row],[Date]])&gt;=4,1,0)</f>
        <v>2026</v>
      </c>
      <c r="C261" s="7">
        <f>YEAR(Table13[[#This Row],[Date]])</f>
        <v>2025</v>
      </c>
      <c r="D261" s="102">
        <f>Table13[[#This Row],[Date]]-DAY(Table13[[#This Row],[Date]])+1</f>
        <v>45992</v>
      </c>
      <c r="E261" s="7">
        <f t="shared" si="16"/>
        <v>31</v>
      </c>
      <c r="F261" s="103" t="str">
        <f>IFERROR(_xlfn.XLOOKUP($A261,'Raw Data'!$G:$G,'Raw Data'!$AM:$AM),"")</f>
        <v/>
      </c>
      <c r="G261" s="104" t="str">
        <f>IFERROR(_xlfn.XLOOKUP($A261,'Raw Data'!$G:$G,'Raw Data'!$AB:$AB),"")</f>
        <v/>
      </c>
      <c r="H261" s="104"/>
      <c r="I261" s="104" t="str">
        <f>IFERROR(_xlfn.XLOOKUP($A261,'Raw Data'!$G:$G,'Raw Data'!$AC:$AC),"")</f>
        <v/>
      </c>
      <c r="J261" s="104"/>
      <c r="K261" s="104" t="str">
        <f>IFERROR(_xlfn.XLOOKUP($A261,'Raw Data'!$G:$G,'Raw Data'!AD:AD),"")</f>
        <v/>
      </c>
      <c r="L261" s="104" t="str">
        <f>IFERROR(_xlfn.XLOOKUP($A261,'Raw Data'!$G:$G,'Raw Data'!AE:AE),"")</f>
        <v/>
      </c>
      <c r="M261" s="104" t="str">
        <f>IFERROR(_xlfn.XLOOKUP($A261,'Raw Data'!$G:$G,'Raw Data'!AF:AF),"")</f>
        <v/>
      </c>
      <c r="N261" s="104" t="str">
        <f>IFERROR(_xlfn.XLOOKUP($A261,'Raw Data'!$G:$G,'Raw Data'!AG:AG),"")</f>
        <v/>
      </c>
      <c r="O261" s="105" t="str">
        <f>IFERROR(1-SUMIF('Plant BD'!$B:$B,$A261,'Plant BD'!$AM:$AM)/($AA261+SUMIF('Plant BD'!$B:$B,$A261,'Plant BD'!$AM:$AM)),"")</f>
        <v/>
      </c>
      <c r="P261" s="105"/>
      <c r="Q261" s="106"/>
      <c r="R261" s="105" t="str">
        <f>IFERROR(1-SUMIF('Grid BD'!$B:$B,$A261,'Grid BD'!$AE:$AE)/($AA261+SUMIF('Grid BD'!$B:$B,$A261,'Grid BD'!$AE:$AE)),"")</f>
        <v/>
      </c>
      <c r="T261" s="106"/>
      <c r="U261" s="107" t="str">
        <f t="shared" si="17"/>
        <v/>
      </c>
      <c r="V261" s="107"/>
      <c r="W261" s="108" t="str">
        <f t="shared" si="18"/>
        <v/>
      </c>
      <c r="X261" s="101" t="str">
        <f>IFERROR(_xlfn.XLOOKUP($A261,'Raw Data'!$G:$G,'Raw Data'!AI:AI),"")</f>
        <v/>
      </c>
      <c r="Y261" s="101" t="str">
        <f>IFERROR(_xlfn.XLOOKUP($A261,'Raw Data'!$G:$G,'Raw Data'!AJ:AJ),"")</f>
        <v/>
      </c>
      <c r="Z261" s="101" t="str">
        <f>IFERROR(_xlfn.XLOOKUP($A261,'Raw Data'!$G:$G,'Raw Data'!AK:AK),"")</f>
        <v/>
      </c>
      <c r="AA261" s="101" t="str">
        <f>IFERROR(_xlfn.XLOOKUP($A261,'Raw Data'!$G:$G,'Raw Data'!$AL:$AL)*(1+(_xlfn.XLOOKUP(Table13[[#This Row],[Month Year]],JMR!$A:$A,JMR!$J:$J))),"")</f>
        <v/>
      </c>
      <c r="AB261" s="101" t="str">
        <f>IFERROR(_xlfn.XLOOKUP($A261,'Raw Data'!$G:$G,'Raw Data'!H:H),"")</f>
        <v/>
      </c>
      <c r="AC261" s="67">
        <f>IFERROR(_xlfn.XLOOKUP($D261,'Modelling New'!$D:$D,'Modelling New'!P:P),"")</f>
        <v>5.2806451612903222</v>
      </c>
      <c r="AD261" s="101">
        <f>IFERROR(_xlfn.XLOOKUP($D261,'Modelling New'!$D:$D,'Modelling New'!$T:$T)*1000,"")</f>
        <v>31172.693339085006</v>
      </c>
      <c r="AE261" s="109">
        <f>IFERROR(_xlfn.XLOOKUP($D261,'Modelling New'!$D:$D,'Modelling New'!O:O),"")</f>
        <v>0.73597699552347362</v>
      </c>
      <c r="AF261" s="108">
        <f>IFERROR(_xlfn.XLOOKUP($D261,'Modelling New'!$D:$D,'Modelling New'!W:W),"")</f>
        <v>0.16193472334300082</v>
      </c>
      <c r="AG261" s="108">
        <f>IFERROR(_xlfn.XLOOKUP($D261,'Modelling New'!$D:$D,'Modelling New'!AE:AE),"")</f>
        <v>0.98040000000000005</v>
      </c>
      <c r="AH261" s="128">
        <f>IFERROR(_xlfn.XLOOKUP($D261,'Modelling New'!$D:$D,'Modelling New'!AF:AF),"")</f>
        <v>0.98</v>
      </c>
      <c r="AN261" s="105"/>
      <c r="AO261" s="108"/>
      <c r="AP261" s="108"/>
      <c r="AQ261" s="108"/>
      <c r="AR261" s="101">
        <f>'Basic Data'!$B$98/1000</f>
        <v>8.0208999999999993</v>
      </c>
      <c r="AT261" s="7" t="str">
        <f>IFERROR(_xlfn.XLOOKUP(Table13[[#This Row],[Date]],'Raw Data'!$G:$G,'Raw Data'!$AN:$AN),"")</f>
        <v/>
      </c>
      <c r="AU261" s="7">
        <f>IFERROR(_xlfn.XLOOKUP(Table13[[#This Row],[Month Year]],'Modelling New'!$D:$D,'Modelling New'!$AO:$AO),"")</f>
        <v>8</v>
      </c>
      <c r="AV261" s="7">
        <f>SUMIF('Curtailment Records'!$C:$C,Table13[[#This Row],[Date]],'Curtailment Records'!$R:$R)/1000</f>
        <v>0</v>
      </c>
    </row>
    <row r="262" spans="1:48" x14ac:dyDescent="0.3">
      <c r="A262" s="100">
        <f t="shared" si="19"/>
        <v>46005</v>
      </c>
      <c r="B262" s="101">
        <f>YEAR(Table13[[#This Row],[Date]])+IF(MONTH(Table13[[#This Row],[Date]])&gt;=4,1,0)</f>
        <v>2026</v>
      </c>
      <c r="C262" s="7">
        <f>YEAR(Table13[[#This Row],[Date]])</f>
        <v>2025</v>
      </c>
      <c r="D262" s="102">
        <f>Table13[[#This Row],[Date]]-DAY(Table13[[#This Row],[Date]])+1</f>
        <v>45992</v>
      </c>
      <c r="E262" s="7">
        <f t="shared" si="16"/>
        <v>31</v>
      </c>
      <c r="F262" s="103" t="str">
        <f>IFERROR(_xlfn.XLOOKUP($A262,'Raw Data'!$G:$G,'Raw Data'!$AM:$AM),"")</f>
        <v/>
      </c>
      <c r="G262" s="104" t="str">
        <f>IFERROR(_xlfn.XLOOKUP($A262,'Raw Data'!$G:$G,'Raw Data'!$AB:$AB),"")</f>
        <v/>
      </c>
      <c r="H262" s="104"/>
      <c r="I262" s="104" t="str">
        <f>IFERROR(_xlfn.XLOOKUP($A262,'Raw Data'!$G:$G,'Raw Data'!$AC:$AC),"")</f>
        <v/>
      </c>
      <c r="J262" s="104"/>
      <c r="K262" s="104" t="str">
        <f>IFERROR(_xlfn.XLOOKUP($A262,'Raw Data'!$G:$G,'Raw Data'!AD:AD),"")</f>
        <v/>
      </c>
      <c r="L262" s="104" t="str">
        <f>IFERROR(_xlfn.XLOOKUP($A262,'Raw Data'!$G:$G,'Raw Data'!AE:AE),"")</f>
        <v/>
      </c>
      <c r="M262" s="104" t="str">
        <f>IFERROR(_xlfn.XLOOKUP($A262,'Raw Data'!$G:$G,'Raw Data'!AF:AF),"")</f>
        <v/>
      </c>
      <c r="N262" s="104" t="str">
        <f>IFERROR(_xlfn.XLOOKUP($A262,'Raw Data'!$G:$G,'Raw Data'!AG:AG),"")</f>
        <v/>
      </c>
      <c r="O262" s="105" t="str">
        <f>IFERROR(1-SUMIF('Plant BD'!$B:$B,$A262,'Plant BD'!$AM:$AM)/($AA262+SUMIF('Plant BD'!$B:$B,$A262,'Plant BD'!$AM:$AM)),"")</f>
        <v/>
      </c>
      <c r="P262" s="105"/>
      <c r="Q262" s="106"/>
      <c r="R262" s="105" t="str">
        <f>IFERROR(1-SUMIF('Grid BD'!$B:$B,$A262,'Grid BD'!$AE:$AE)/($AA262+SUMIF('Grid BD'!$B:$B,$A262,'Grid BD'!$AE:$AE)),"")</f>
        <v/>
      </c>
      <c r="T262" s="106"/>
      <c r="U262" s="107" t="str">
        <f t="shared" si="17"/>
        <v/>
      </c>
      <c r="V262" s="107"/>
      <c r="W262" s="108" t="str">
        <f t="shared" si="18"/>
        <v/>
      </c>
      <c r="X262" s="101" t="str">
        <f>IFERROR(_xlfn.XLOOKUP($A262,'Raw Data'!$G:$G,'Raw Data'!AI:AI),"")</f>
        <v/>
      </c>
      <c r="Y262" s="101" t="str">
        <f>IFERROR(_xlfn.XLOOKUP($A262,'Raw Data'!$G:$G,'Raw Data'!AJ:AJ),"")</f>
        <v/>
      </c>
      <c r="Z262" s="101" t="str">
        <f>IFERROR(_xlfn.XLOOKUP($A262,'Raw Data'!$G:$G,'Raw Data'!AK:AK),"")</f>
        <v/>
      </c>
      <c r="AA262" s="101" t="str">
        <f>IFERROR(_xlfn.XLOOKUP($A262,'Raw Data'!$G:$G,'Raw Data'!$AL:$AL)*(1+(_xlfn.XLOOKUP(Table13[[#This Row],[Month Year]],JMR!$A:$A,JMR!$J:$J))),"")</f>
        <v/>
      </c>
      <c r="AB262" s="101" t="str">
        <f>IFERROR(_xlfn.XLOOKUP($A262,'Raw Data'!$G:$G,'Raw Data'!H:H),"")</f>
        <v/>
      </c>
      <c r="AC262" s="67">
        <f>IFERROR(_xlfn.XLOOKUP($D262,'Modelling New'!$D:$D,'Modelling New'!P:P),"")</f>
        <v>5.2806451612903222</v>
      </c>
      <c r="AD262" s="101">
        <f>IFERROR(_xlfn.XLOOKUP($D262,'Modelling New'!$D:$D,'Modelling New'!$T:$T)*1000,"")</f>
        <v>31172.693339085006</v>
      </c>
      <c r="AE262" s="109">
        <f>IFERROR(_xlfn.XLOOKUP($D262,'Modelling New'!$D:$D,'Modelling New'!O:O),"")</f>
        <v>0.73597699552347362</v>
      </c>
      <c r="AF262" s="108">
        <f>IFERROR(_xlfn.XLOOKUP($D262,'Modelling New'!$D:$D,'Modelling New'!W:W),"")</f>
        <v>0.16193472334300082</v>
      </c>
      <c r="AG262" s="108">
        <f>IFERROR(_xlfn.XLOOKUP($D262,'Modelling New'!$D:$D,'Modelling New'!AE:AE),"")</f>
        <v>0.98040000000000005</v>
      </c>
      <c r="AH262" s="128">
        <f>IFERROR(_xlfn.XLOOKUP($D262,'Modelling New'!$D:$D,'Modelling New'!AF:AF),"")</f>
        <v>0.98</v>
      </c>
      <c r="AN262" s="105"/>
      <c r="AO262" s="108"/>
      <c r="AP262" s="108"/>
      <c r="AQ262" s="108"/>
      <c r="AR262" s="101">
        <f>'Basic Data'!$B$98/1000</f>
        <v>8.0208999999999993</v>
      </c>
      <c r="AT262" s="7" t="str">
        <f>IFERROR(_xlfn.XLOOKUP(Table13[[#This Row],[Date]],'Raw Data'!$G:$G,'Raw Data'!$AN:$AN),"")</f>
        <v/>
      </c>
      <c r="AU262" s="7">
        <f>IFERROR(_xlfn.XLOOKUP(Table13[[#This Row],[Month Year]],'Modelling New'!$D:$D,'Modelling New'!$AO:$AO),"")</f>
        <v>8</v>
      </c>
      <c r="AV262" s="7">
        <f>SUMIF('Curtailment Records'!$C:$C,Table13[[#This Row],[Date]],'Curtailment Records'!$R:$R)/1000</f>
        <v>0</v>
      </c>
    </row>
    <row r="263" spans="1:48" x14ac:dyDescent="0.3">
      <c r="A263" s="100">
        <f t="shared" si="19"/>
        <v>46006</v>
      </c>
      <c r="B263" s="101">
        <f>YEAR(Table13[[#This Row],[Date]])+IF(MONTH(Table13[[#This Row],[Date]])&gt;=4,1,0)</f>
        <v>2026</v>
      </c>
      <c r="C263" s="7">
        <f>YEAR(Table13[[#This Row],[Date]])</f>
        <v>2025</v>
      </c>
      <c r="D263" s="102">
        <f>Table13[[#This Row],[Date]]-DAY(Table13[[#This Row],[Date]])+1</f>
        <v>45992</v>
      </c>
      <c r="E263" s="7">
        <f t="shared" si="16"/>
        <v>31</v>
      </c>
      <c r="F263" s="103" t="str">
        <f>IFERROR(_xlfn.XLOOKUP($A263,'Raw Data'!$G:$G,'Raw Data'!$AM:$AM),"")</f>
        <v/>
      </c>
      <c r="G263" s="104" t="str">
        <f>IFERROR(_xlfn.XLOOKUP($A263,'Raw Data'!$G:$G,'Raw Data'!$AB:$AB),"")</f>
        <v/>
      </c>
      <c r="H263" s="104"/>
      <c r="I263" s="104" t="str">
        <f>IFERROR(_xlfn.XLOOKUP($A263,'Raw Data'!$G:$G,'Raw Data'!$AC:$AC),"")</f>
        <v/>
      </c>
      <c r="J263" s="104"/>
      <c r="K263" s="104" t="str">
        <f>IFERROR(_xlfn.XLOOKUP($A263,'Raw Data'!$G:$G,'Raw Data'!AD:AD),"")</f>
        <v/>
      </c>
      <c r="L263" s="104" t="str">
        <f>IFERROR(_xlfn.XLOOKUP($A263,'Raw Data'!$G:$G,'Raw Data'!AE:AE),"")</f>
        <v/>
      </c>
      <c r="M263" s="104" t="str">
        <f>IFERROR(_xlfn.XLOOKUP($A263,'Raw Data'!$G:$G,'Raw Data'!AF:AF),"")</f>
        <v/>
      </c>
      <c r="N263" s="104" t="str">
        <f>IFERROR(_xlfn.XLOOKUP($A263,'Raw Data'!$G:$G,'Raw Data'!AG:AG),"")</f>
        <v/>
      </c>
      <c r="O263" s="105" t="str">
        <f>IFERROR(1-SUMIF('Plant BD'!$B:$B,$A263,'Plant BD'!$AM:$AM)/($AA263+SUMIF('Plant BD'!$B:$B,$A263,'Plant BD'!$AM:$AM)),"")</f>
        <v/>
      </c>
      <c r="P263" s="105"/>
      <c r="Q263" s="106"/>
      <c r="R263" s="105" t="str">
        <f>IFERROR(1-SUMIF('Grid BD'!$B:$B,$A263,'Grid BD'!$AE:$AE)/($AA263+SUMIF('Grid BD'!$B:$B,$A263,'Grid BD'!$AE:$AE)),"")</f>
        <v/>
      </c>
      <c r="T263" s="106"/>
      <c r="U263" s="107" t="str">
        <f t="shared" si="17"/>
        <v/>
      </c>
      <c r="V263" s="107"/>
      <c r="W263" s="108" t="str">
        <f t="shared" si="18"/>
        <v/>
      </c>
      <c r="X263" s="101" t="str">
        <f>IFERROR(_xlfn.XLOOKUP($A263,'Raw Data'!$G:$G,'Raw Data'!AI:AI),"")</f>
        <v/>
      </c>
      <c r="Y263" s="101" t="str">
        <f>IFERROR(_xlfn.XLOOKUP($A263,'Raw Data'!$G:$G,'Raw Data'!AJ:AJ),"")</f>
        <v/>
      </c>
      <c r="Z263" s="101" t="str">
        <f>IFERROR(_xlfn.XLOOKUP($A263,'Raw Data'!$G:$G,'Raw Data'!AK:AK),"")</f>
        <v/>
      </c>
      <c r="AA263" s="101" t="str">
        <f>IFERROR(_xlfn.XLOOKUP($A263,'Raw Data'!$G:$G,'Raw Data'!$AL:$AL)*(1+(_xlfn.XLOOKUP(Table13[[#This Row],[Month Year]],JMR!$A:$A,JMR!$J:$J))),"")</f>
        <v/>
      </c>
      <c r="AB263" s="101" t="str">
        <f>IFERROR(_xlfn.XLOOKUP($A263,'Raw Data'!$G:$G,'Raw Data'!H:H),"")</f>
        <v/>
      </c>
      <c r="AC263" s="67">
        <f>IFERROR(_xlfn.XLOOKUP($D263,'Modelling New'!$D:$D,'Modelling New'!P:P),"")</f>
        <v>5.2806451612903222</v>
      </c>
      <c r="AD263" s="101">
        <f>IFERROR(_xlfn.XLOOKUP($D263,'Modelling New'!$D:$D,'Modelling New'!$T:$T)*1000,"")</f>
        <v>31172.693339085006</v>
      </c>
      <c r="AE263" s="109">
        <f>IFERROR(_xlfn.XLOOKUP($D263,'Modelling New'!$D:$D,'Modelling New'!O:O),"")</f>
        <v>0.73597699552347362</v>
      </c>
      <c r="AF263" s="108">
        <f>IFERROR(_xlfn.XLOOKUP($D263,'Modelling New'!$D:$D,'Modelling New'!W:W),"")</f>
        <v>0.16193472334300082</v>
      </c>
      <c r="AG263" s="108">
        <f>IFERROR(_xlfn.XLOOKUP($D263,'Modelling New'!$D:$D,'Modelling New'!AE:AE),"")</f>
        <v>0.98040000000000005</v>
      </c>
      <c r="AH263" s="128">
        <f>IFERROR(_xlfn.XLOOKUP($D263,'Modelling New'!$D:$D,'Modelling New'!AF:AF),"")</f>
        <v>0.98</v>
      </c>
      <c r="AN263" s="105"/>
      <c r="AO263" s="108"/>
      <c r="AP263" s="108"/>
      <c r="AQ263" s="108"/>
      <c r="AR263" s="101">
        <f>'Basic Data'!$B$98/1000</f>
        <v>8.0208999999999993</v>
      </c>
      <c r="AT263" s="7" t="str">
        <f>IFERROR(_xlfn.XLOOKUP(Table13[[#This Row],[Date]],'Raw Data'!$G:$G,'Raw Data'!$AN:$AN),"")</f>
        <v/>
      </c>
      <c r="AU263" s="7">
        <f>IFERROR(_xlfn.XLOOKUP(Table13[[#This Row],[Month Year]],'Modelling New'!$D:$D,'Modelling New'!$AO:$AO),"")</f>
        <v>8</v>
      </c>
      <c r="AV263" s="7">
        <f>SUMIF('Curtailment Records'!$C:$C,Table13[[#This Row],[Date]],'Curtailment Records'!$R:$R)/1000</f>
        <v>0</v>
      </c>
    </row>
    <row r="264" spans="1:48" x14ac:dyDescent="0.3">
      <c r="A264" s="100">
        <f t="shared" si="19"/>
        <v>46007</v>
      </c>
      <c r="B264" s="101">
        <f>YEAR(Table13[[#This Row],[Date]])+IF(MONTH(Table13[[#This Row],[Date]])&gt;=4,1,0)</f>
        <v>2026</v>
      </c>
      <c r="C264" s="7">
        <f>YEAR(Table13[[#This Row],[Date]])</f>
        <v>2025</v>
      </c>
      <c r="D264" s="102">
        <f>Table13[[#This Row],[Date]]-DAY(Table13[[#This Row],[Date]])+1</f>
        <v>45992</v>
      </c>
      <c r="E264" s="7">
        <f t="shared" si="16"/>
        <v>31</v>
      </c>
      <c r="F264" s="103" t="str">
        <f>IFERROR(_xlfn.XLOOKUP($A264,'Raw Data'!$G:$G,'Raw Data'!$AM:$AM),"")</f>
        <v/>
      </c>
      <c r="G264" s="104" t="str">
        <f>IFERROR(_xlfn.XLOOKUP($A264,'Raw Data'!$G:$G,'Raw Data'!$AB:$AB),"")</f>
        <v/>
      </c>
      <c r="H264" s="104"/>
      <c r="I264" s="104" t="str">
        <f>IFERROR(_xlfn.XLOOKUP($A264,'Raw Data'!$G:$G,'Raw Data'!$AC:$AC),"")</f>
        <v/>
      </c>
      <c r="J264" s="104"/>
      <c r="K264" s="104" t="str">
        <f>IFERROR(_xlfn.XLOOKUP($A264,'Raw Data'!$G:$G,'Raw Data'!AD:AD),"")</f>
        <v/>
      </c>
      <c r="L264" s="104" t="str">
        <f>IFERROR(_xlfn.XLOOKUP($A264,'Raw Data'!$G:$G,'Raw Data'!AE:AE),"")</f>
        <v/>
      </c>
      <c r="M264" s="104" t="str">
        <f>IFERROR(_xlfn.XLOOKUP($A264,'Raw Data'!$G:$G,'Raw Data'!AF:AF),"")</f>
        <v/>
      </c>
      <c r="N264" s="104" t="str">
        <f>IFERROR(_xlfn.XLOOKUP($A264,'Raw Data'!$G:$G,'Raw Data'!AG:AG),"")</f>
        <v/>
      </c>
      <c r="O264" s="105" t="str">
        <f>IFERROR(1-SUMIF('Plant BD'!$B:$B,$A264,'Plant BD'!$AM:$AM)/($AA264+SUMIF('Plant BD'!$B:$B,$A264,'Plant BD'!$AM:$AM)),"")</f>
        <v/>
      </c>
      <c r="P264" s="105"/>
      <c r="Q264" s="106"/>
      <c r="R264" s="105" t="str">
        <f>IFERROR(1-SUMIF('Grid BD'!$B:$B,$A264,'Grid BD'!$AE:$AE)/($AA264+SUMIF('Grid BD'!$B:$B,$A264,'Grid BD'!$AE:$AE)),"")</f>
        <v/>
      </c>
      <c r="T264" s="106"/>
      <c r="U264" s="107" t="str">
        <f t="shared" si="17"/>
        <v/>
      </c>
      <c r="V264" s="107"/>
      <c r="W264" s="108" t="str">
        <f t="shared" si="18"/>
        <v/>
      </c>
      <c r="X264" s="101" t="str">
        <f>IFERROR(_xlfn.XLOOKUP($A264,'Raw Data'!$G:$G,'Raw Data'!AI:AI),"")</f>
        <v/>
      </c>
      <c r="Y264" s="101" t="str">
        <f>IFERROR(_xlfn.XLOOKUP($A264,'Raw Data'!$G:$G,'Raw Data'!AJ:AJ),"")</f>
        <v/>
      </c>
      <c r="Z264" s="101" t="str">
        <f>IFERROR(_xlfn.XLOOKUP($A264,'Raw Data'!$G:$G,'Raw Data'!AK:AK),"")</f>
        <v/>
      </c>
      <c r="AA264" s="101" t="str">
        <f>IFERROR(_xlfn.XLOOKUP($A264,'Raw Data'!$G:$G,'Raw Data'!$AL:$AL)*(1+(_xlfn.XLOOKUP(Table13[[#This Row],[Month Year]],JMR!$A:$A,JMR!$J:$J))),"")</f>
        <v/>
      </c>
      <c r="AB264" s="101" t="str">
        <f>IFERROR(_xlfn.XLOOKUP($A264,'Raw Data'!$G:$G,'Raw Data'!H:H),"")</f>
        <v/>
      </c>
      <c r="AC264" s="67">
        <f>IFERROR(_xlfn.XLOOKUP($D264,'Modelling New'!$D:$D,'Modelling New'!P:P),"")</f>
        <v>5.2806451612903222</v>
      </c>
      <c r="AD264" s="101">
        <f>IFERROR(_xlfn.XLOOKUP($D264,'Modelling New'!$D:$D,'Modelling New'!$T:$T)*1000,"")</f>
        <v>31172.693339085006</v>
      </c>
      <c r="AE264" s="109">
        <f>IFERROR(_xlfn.XLOOKUP($D264,'Modelling New'!$D:$D,'Modelling New'!O:O),"")</f>
        <v>0.73597699552347362</v>
      </c>
      <c r="AF264" s="108">
        <f>IFERROR(_xlfn.XLOOKUP($D264,'Modelling New'!$D:$D,'Modelling New'!W:W),"")</f>
        <v>0.16193472334300082</v>
      </c>
      <c r="AG264" s="108">
        <f>IFERROR(_xlfn.XLOOKUP($D264,'Modelling New'!$D:$D,'Modelling New'!AE:AE),"")</f>
        <v>0.98040000000000005</v>
      </c>
      <c r="AH264" s="128">
        <f>IFERROR(_xlfn.XLOOKUP($D264,'Modelling New'!$D:$D,'Modelling New'!AF:AF),"")</f>
        <v>0.98</v>
      </c>
      <c r="AN264" s="105"/>
      <c r="AO264" s="108"/>
      <c r="AP264" s="108"/>
      <c r="AQ264" s="108"/>
      <c r="AR264" s="101">
        <f>'Basic Data'!$B$98/1000</f>
        <v>8.0208999999999993</v>
      </c>
      <c r="AT264" s="7" t="str">
        <f>IFERROR(_xlfn.XLOOKUP(Table13[[#This Row],[Date]],'Raw Data'!$G:$G,'Raw Data'!$AN:$AN),"")</f>
        <v/>
      </c>
      <c r="AU264" s="7">
        <f>IFERROR(_xlfn.XLOOKUP(Table13[[#This Row],[Month Year]],'Modelling New'!$D:$D,'Modelling New'!$AO:$AO),"")</f>
        <v>8</v>
      </c>
      <c r="AV264" s="7">
        <f>SUMIF('Curtailment Records'!$C:$C,Table13[[#This Row],[Date]],'Curtailment Records'!$R:$R)/1000</f>
        <v>0</v>
      </c>
    </row>
    <row r="265" spans="1:48" x14ac:dyDescent="0.3">
      <c r="A265" s="100">
        <f t="shared" si="19"/>
        <v>46008</v>
      </c>
      <c r="B265" s="101">
        <f>YEAR(Table13[[#This Row],[Date]])+IF(MONTH(Table13[[#This Row],[Date]])&gt;=4,1,0)</f>
        <v>2026</v>
      </c>
      <c r="C265" s="7">
        <f>YEAR(Table13[[#This Row],[Date]])</f>
        <v>2025</v>
      </c>
      <c r="D265" s="102">
        <f>Table13[[#This Row],[Date]]-DAY(Table13[[#This Row],[Date]])+1</f>
        <v>45992</v>
      </c>
      <c r="E265" s="7">
        <f t="shared" si="16"/>
        <v>31</v>
      </c>
      <c r="F265" s="103" t="str">
        <f>IFERROR(_xlfn.XLOOKUP($A265,'Raw Data'!$G:$G,'Raw Data'!$AM:$AM),"")</f>
        <v/>
      </c>
      <c r="G265" s="104" t="str">
        <f>IFERROR(_xlfn.XLOOKUP($A265,'Raw Data'!$G:$G,'Raw Data'!$AB:$AB),"")</f>
        <v/>
      </c>
      <c r="H265" s="104"/>
      <c r="I265" s="104" t="str">
        <f>IFERROR(_xlfn.XLOOKUP($A265,'Raw Data'!$G:$G,'Raw Data'!$AC:$AC),"")</f>
        <v/>
      </c>
      <c r="J265" s="104"/>
      <c r="K265" s="104" t="str">
        <f>IFERROR(_xlfn.XLOOKUP($A265,'Raw Data'!$G:$G,'Raw Data'!AD:AD),"")</f>
        <v/>
      </c>
      <c r="L265" s="104" t="str">
        <f>IFERROR(_xlfn.XLOOKUP($A265,'Raw Data'!$G:$G,'Raw Data'!AE:AE),"")</f>
        <v/>
      </c>
      <c r="M265" s="104" t="str">
        <f>IFERROR(_xlfn.XLOOKUP($A265,'Raw Data'!$G:$G,'Raw Data'!AF:AF),"")</f>
        <v/>
      </c>
      <c r="N265" s="104" t="str">
        <f>IFERROR(_xlfn.XLOOKUP($A265,'Raw Data'!$G:$G,'Raw Data'!AG:AG),"")</f>
        <v/>
      </c>
      <c r="O265" s="105" t="str">
        <f>IFERROR(1-SUMIF('Plant BD'!$B:$B,$A265,'Plant BD'!$AM:$AM)/($AA265+SUMIF('Plant BD'!$B:$B,$A265,'Plant BD'!$AM:$AM)),"")</f>
        <v/>
      </c>
      <c r="P265" s="105"/>
      <c r="Q265" s="106"/>
      <c r="R265" s="105" t="str">
        <f>IFERROR(1-SUMIF('Grid BD'!$B:$B,$A265,'Grid BD'!$AE:$AE)/($AA265+SUMIF('Grid BD'!$B:$B,$A265,'Grid BD'!$AE:$AE)),"")</f>
        <v/>
      </c>
      <c r="T265" s="106"/>
      <c r="U265" s="107" t="str">
        <f t="shared" si="17"/>
        <v/>
      </c>
      <c r="V265" s="107"/>
      <c r="W265" s="108" t="str">
        <f t="shared" si="18"/>
        <v/>
      </c>
      <c r="X265" s="101" t="str">
        <f>IFERROR(_xlfn.XLOOKUP($A265,'Raw Data'!$G:$G,'Raw Data'!AI:AI),"")</f>
        <v/>
      </c>
      <c r="Y265" s="101" t="str">
        <f>IFERROR(_xlfn.XLOOKUP($A265,'Raw Data'!$G:$G,'Raw Data'!AJ:AJ),"")</f>
        <v/>
      </c>
      <c r="Z265" s="101" t="str">
        <f>IFERROR(_xlfn.XLOOKUP($A265,'Raw Data'!$G:$G,'Raw Data'!AK:AK),"")</f>
        <v/>
      </c>
      <c r="AA265" s="101" t="str">
        <f>IFERROR(_xlfn.XLOOKUP($A265,'Raw Data'!$G:$G,'Raw Data'!$AL:$AL)*(1+(_xlfn.XLOOKUP(Table13[[#This Row],[Month Year]],JMR!$A:$A,JMR!$J:$J))),"")</f>
        <v/>
      </c>
      <c r="AB265" s="101" t="str">
        <f>IFERROR(_xlfn.XLOOKUP($A265,'Raw Data'!$G:$G,'Raw Data'!H:H),"")</f>
        <v/>
      </c>
      <c r="AC265" s="67">
        <f>IFERROR(_xlfn.XLOOKUP($D265,'Modelling New'!$D:$D,'Modelling New'!P:P),"")</f>
        <v>5.2806451612903222</v>
      </c>
      <c r="AD265" s="101">
        <f>IFERROR(_xlfn.XLOOKUP($D265,'Modelling New'!$D:$D,'Modelling New'!$T:$T)*1000,"")</f>
        <v>31172.693339085006</v>
      </c>
      <c r="AE265" s="109">
        <f>IFERROR(_xlfn.XLOOKUP($D265,'Modelling New'!$D:$D,'Modelling New'!O:O),"")</f>
        <v>0.73597699552347362</v>
      </c>
      <c r="AF265" s="108">
        <f>IFERROR(_xlfn.XLOOKUP($D265,'Modelling New'!$D:$D,'Modelling New'!W:W),"")</f>
        <v>0.16193472334300082</v>
      </c>
      <c r="AG265" s="108">
        <f>IFERROR(_xlfn.XLOOKUP($D265,'Modelling New'!$D:$D,'Modelling New'!AE:AE),"")</f>
        <v>0.98040000000000005</v>
      </c>
      <c r="AH265" s="128">
        <f>IFERROR(_xlfn.XLOOKUP($D265,'Modelling New'!$D:$D,'Modelling New'!AF:AF),"")</f>
        <v>0.98</v>
      </c>
      <c r="AN265" s="105"/>
      <c r="AO265" s="108"/>
      <c r="AP265" s="108"/>
      <c r="AQ265" s="108"/>
      <c r="AR265" s="101">
        <f>'Basic Data'!$B$98/1000</f>
        <v>8.0208999999999993</v>
      </c>
      <c r="AT265" s="7" t="str">
        <f>IFERROR(_xlfn.XLOOKUP(Table13[[#This Row],[Date]],'Raw Data'!$G:$G,'Raw Data'!$AN:$AN),"")</f>
        <v/>
      </c>
      <c r="AU265" s="7">
        <f>IFERROR(_xlfn.XLOOKUP(Table13[[#This Row],[Month Year]],'Modelling New'!$D:$D,'Modelling New'!$AO:$AO),"")</f>
        <v>8</v>
      </c>
      <c r="AV265" s="7">
        <f>SUMIF('Curtailment Records'!$C:$C,Table13[[#This Row],[Date]],'Curtailment Records'!$R:$R)/1000</f>
        <v>0</v>
      </c>
    </row>
    <row r="266" spans="1:48" x14ac:dyDescent="0.3">
      <c r="A266" s="100">
        <f t="shared" si="19"/>
        <v>46009</v>
      </c>
      <c r="B266" s="101">
        <f>YEAR(Table13[[#This Row],[Date]])+IF(MONTH(Table13[[#This Row],[Date]])&gt;=4,1,0)</f>
        <v>2026</v>
      </c>
      <c r="C266" s="7">
        <f>YEAR(Table13[[#This Row],[Date]])</f>
        <v>2025</v>
      </c>
      <c r="D266" s="102">
        <f>Table13[[#This Row],[Date]]-DAY(Table13[[#This Row],[Date]])+1</f>
        <v>45992</v>
      </c>
      <c r="E266" s="7">
        <f t="shared" si="16"/>
        <v>31</v>
      </c>
      <c r="F266" s="103" t="str">
        <f>IFERROR(_xlfn.XLOOKUP($A266,'Raw Data'!$G:$G,'Raw Data'!$AM:$AM),"")</f>
        <v/>
      </c>
      <c r="G266" s="104" t="str">
        <f>IFERROR(_xlfn.XLOOKUP($A266,'Raw Data'!$G:$G,'Raw Data'!$AB:$AB),"")</f>
        <v/>
      </c>
      <c r="H266" s="104"/>
      <c r="I266" s="104" t="str">
        <f>IFERROR(_xlfn.XLOOKUP($A266,'Raw Data'!$G:$G,'Raw Data'!$AC:$AC),"")</f>
        <v/>
      </c>
      <c r="J266" s="104"/>
      <c r="K266" s="104" t="str">
        <f>IFERROR(_xlfn.XLOOKUP($A266,'Raw Data'!$G:$G,'Raw Data'!AD:AD),"")</f>
        <v/>
      </c>
      <c r="L266" s="104" t="str">
        <f>IFERROR(_xlfn.XLOOKUP($A266,'Raw Data'!$G:$G,'Raw Data'!AE:AE),"")</f>
        <v/>
      </c>
      <c r="M266" s="104" t="str">
        <f>IFERROR(_xlfn.XLOOKUP($A266,'Raw Data'!$G:$G,'Raw Data'!AF:AF),"")</f>
        <v/>
      </c>
      <c r="N266" s="104" t="str">
        <f>IFERROR(_xlfn.XLOOKUP($A266,'Raw Data'!$G:$G,'Raw Data'!AG:AG),"")</f>
        <v/>
      </c>
      <c r="O266" s="105" t="str">
        <f>IFERROR(1-SUMIF('Plant BD'!$B:$B,$A266,'Plant BD'!$AM:$AM)/($AA266+SUMIF('Plant BD'!$B:$B,$A266,'Plant BD'!$AM:$AM)),"")</f>
        <v/>
      </c>
      <c r="P266" s="105"/>
      <c r="Q266" s="106"/>
      <c r="R266" s="105" t="str">
        <f>IFERROR(1-SUMIF('Grid BD'!$B:$B,$A266,'Grid BD'!$AE:$AE)/($AA266+SUMIF('Grid BD'!$B:$B,$A266,'Grid BD'!$AE:$AE)),"")</f>
        <v/>
      </c>
      <c r="T266" s="106"/>
      <c r="U266" s="107" t="str">
        <f t="shared" si="17"/>
        <v/>
      </c>
      <c r="V266" s="107"/>
      <c r="W266" s="108" t="str">
        <f t="shared" si="18"/>
        <v/>
      </c>
      <c r="X266" s="101" t="str">
        <f>IFERROR(_xlfn.XLOOKUP($A266,'Raw Data'!$G:$G,'Raw Data'!AI:AI),"")</f>
        <v/>
      </c>
      <c r="Y266" s="101" t="str">
        <f>IFERROR(_xlfn.XLOOKUP($A266,'Raw Data'!$G:$G,'Raw Data'!AJ:AJ),"")</f>
        <v/>
      </c>
      <c r="Z266" s="101" t="str">
        <f>IFERROR(_xlfn.XLOOKUP($A266,'Raw Data'!$G:$G,'Raw Data'!AK:AK),"")</f>
        <v/>
      </c>
      <c r="AA266" s="101" t="str">
        <f>IFERROR(_xlfn.XLOOKUP($A266,'Raw Data'!$G:$G,'Raw Data'!$AL:$AL)*(1+(_xlfn.XLOOKUP(Table13[[#This Row],[Month Year]],JMR!$A:$A,JMR!$J:$J))),"")</f>
        <v/>
      </c>
      <c r="AB266" s="101" t="str">
        <f>IFERROR(_xlfn.XLOOKUP($A266,'Raw Data'!$G:$G,'Raw Data'!H:H),"")</f>
        <v/>
      </c>
      <c r="AC266" s="67">
        <f>IFERROR(_xlfn.XLOOKUP($D266,'Modelling New'!$D:$D,'Modelling New'!P:P),"")</f>
        <v>5.2806451612903222</v>
      </c>
      <c r="AD266" s="101">
        <f>IFERROR(_xlfn.XLOOKUP($D266,'Modelling New'!$D:$D,'Modelling New'!$T:$T)*1000,"")</f>
        <v>31172.693339085006</v>
      </c>
      <c r="AE266" s="109">
        <f>IFERROR(_xlfn.XLOOKUP($D266,'Modelling New'!$D:$D,'Modelling New'!O:O),"")</f>
        <v>0.73597699552347362</v>
      </c>
      <c r="AF266" s="108">
        <f>IFERROR(_xlfn.XLOOKUP($D266,'Modelling New'!$D:$D,'Modelling New'!W:W),"")</f>
        <v>0.16193472334300082</v>
      </c>
      <c r="AG266" s="108">
        <f>IFERROR(_xlfn.XLOOKUP($D266,'Modelling New'!$D:$D,'Modelling New'!AE:AE),"")</f>
        <v>0.98040000000000005</v>
      </c>
      <c r="AH266" s="128">
        <f>IFERROR(_xlfn.XLOOKUP($D266,'Modelling New'!$D:$D,'Modelling New'!AF:AF),"")</f>
        <v>0.98</v>
      </c>
      <c r="AN266" s="105"/>
      <c r="AO266" s="108"/>
      <c r="AP266" s="108"/>
      <c r="AQ266" s="108"/>
      <c r="AR266" s="101">
        <f>'Basic Data'!$B$98/1000</f>
        <v>8.0208999999999993</v>
      </c>
      <c r="AT266" s="7" t="str">
        <f>IFERROR(_xlfn.XLOOKUP(Table13[[#This Row],[Date]],'Raw Data'!$G:$G,'Raw Data'!$AN:$AN),"")</f>
        <v/>
      </c>
      <c r="AU266" s="7">
        <f>IFERROR(_xlfn.XLOOKUP(Table13[[#This Row],[Month Year]],'Modelling New'!$D:$D,'Modelling New'!$AO:$AO),"")</f>
        <v>8</v>
      </c>
      <c r="AV266" s="7">
        <f>SUMIF('Curtailment Records'!$C:$C,Table13[[#This Row],[Date]],'Curtailment Records'!$R:$R)/1000</f>
        <v>0</v>
      </c>
    </row>
    <row r="267" spans="1:48" x14ac:dyDescent="0.3">
      <c r="A267" s="100">
        <f t="shared" si="19"/>
        <v>46010</v>
      </c>
      <c r="B267" s="101">
        <f>YEAR(Table13[[#This Row],[Date]])+IF(MONTH(Table13[[#This Row],[Date]])&gt;=4,1,0)</f>
        <v>2026</v>
      </c>
      <c r="C267" s="7">
        <f>YEAR(Table13[[#This Row],[Date]])</f>
        <v>2025</v>
      </c>
      <c r="D267" s="102">
        <f>Table13[[#This Row],[Date]]-DAY(Table13[[#This Row],[Date]])+1</f>
        <v>45992</v>
      </c>
      <c r="E267" s="7">
        <f t="shared" si="16"/>
        <v>31</v>
      </c>
      <c r="F267" s="103" t="str">
        <f>IFERROR(_xlfn.XLOOKUP($A267,'Raw Data'!$G:$G,'Raw Data'!$AM:$AM),"")</f>
        <v/>
      </c>
      <c r="G267" s="104" t="str">
        <f>IFERROR(_xlfn.XLOOKUP($A267,'Raw Data'!$G:$G,'Raw Data'!$AB:$AB),"")</f>
        <v/>
      </c>
      <c r="H267" s="104"/>
      <c r="I267" s="104" t="str">
        <f>IFERROR(_xlfn.XLOOKUP($A267,'Raw Data'!$G:$G,'Raw Data'!$AC:$AC),"")</f>
        <v/>
      </c>
      <c r="J267" s="104"/>
      <c r="K267" s="104" t="str">
        <f>IFERROR(_xlfn.XLOOKUP($A267,'Raw Data'!$G:$G,'Raw Data'!AD:AD),"")</f>
        <v/>
      </c>
      <c r="L267" s="104" t="str">
        <f>IFERROR(_xlfn.XLOOKUP($A267,'Raw Data'!$G:$G,'Raw Data'!AE:AE),"")</f>
        <v/>
      </c>
      <c r="M267" s="104" t="str">
        <f>IFERROR(_xlfn.XLOOKUP($A267,'Raw Data'!$G:$G,'Raw Data'!AF:AF),"")</f>
        <v/>
      </c>
      <c r="N267" s="104" t="str">
        <f>IFERROR(_xlfn.XLOOKUP($A267,'Raw Data'!$G:$G,'Raw Data'!AG:AG),"")</f>
        <v/>
      </c>
      <c r="O267" s="105" t="str">
        <f>IFERROR(1-SUMIF('Plant BD'!$B:$B,$A267,'Plant BD'!$AM:$AM)/($AA267+SUMIF('Plant BD'!$B:$B,$A267,'Plant BD'!$AM:$AM)),"")</f>
        <v/>
      </c>
      <c r="P267" s="105"/>
      <c r="Q267" s="106"/>
      <c r="R267" s="105" t="str">
        <f>IFERROR(1-SUMIF('Grid BD'!$B:$B,$A267,'Grid BD'!$AE:$AE)/($AA267+SUMIF('Grid BD'!$B:$B,$A267,'Grid BD'!$AE:$AE)),"")</f>
        <v/>
      </c>
      <c r="T267" s="106"/>
      <c r="U267" s="107" t="str">
        <f t="shared" si="17"/>
        <v/>
      </c>
      <c r="V267" s="107"/>
      <c r="W267" s="108" t="str">
        <f t="shared" si="18"/>
        <v/>
      </c>
      <c r="X267" s="101" t="str">
        <f>IFERROR(_xlfn.XLOOKUP($A267,'Raw Data'!$G:$G,'Raw Data'!AI:AI),"")</f>
        <v/>
      </c>
      <c r="Y267" s="101" t="str">
        <f>IFERROR(_xlfn.XLOOKUP($A267,'Raw Data'!$G:$G,'Raw Data'!AJ:AJ),"")</f>
        <v/>
      </c>
      <c r="Z267" s="101" t="str">
        <f>IFERROR(_xlfn.XLOOKUP($A267,'Raw Data'!$G:$G,'Raw Data'!AK:AK),"")</f>
        <v/>
      </c>
      <c r="AA267" s="101" t="str">
        <f>IFERROR(_xlfn.XLOOKUP($A267,'Raw Data'!$G:$G,'Raw Data'!$AL:$AL)*(1+(_xlfn.XLOOKUP(Table13[[#This Row],[Month Year]],JMR!$A:$A,JMR!$J:$J))),"")</f>
        <v/>
      </c>
      <c r="AB267" s="101" t="str">
        <f>IFERROR(_xlfn.XLOOKUP($A267,'Raw Data'!$G:$G,'Raw Data'!H:H),"")</f>
        <v/>
      </c>
      <c r="AC267" s="67">
        <f>IFERROR(_xlfn.XLOOKUP($D267,'Modelling New'!$D:$D,'Modelling New'!P:P),"")</f>
        <v>5.2806451612903222</v>
      </c>
      <c r="AD267" s="101">
        <f>IFERROR(_xlfn.XLOOKUP($D267,'Modelling New'!$D:$D,'Modelling New'!$T:$T)*1000,"")</f>
        <v>31172.693339085006</v>
      </c>
      <c r="AE267" s="109">
        <f>IFERROR(_xlfn.XLOOKUP($D267,'Modelling New'!$D:$D,'Modelling New'!O:O),"")</f>
        <v>0.73597699552347362</v>
      </c>
      <c r="AF267" s="108">
        <f>IFERROR(_xlfn.XLOOKUP($D267,'Modelling New'!$D:$D,'Modelling New'!W:W),"")</f>
        <v>0.16193472334300082</v>
      </c>
      <c r="AG267" s="108">
        <f>IFERROR(_xlfn.XLOOKUP($D267,'Modelling New'!$D:$D,'Modelling New'!AE:AE),"")</f>
        <v>0.98040000000000005</v>
      </c>
      <c r="AH267" s="128">
        <f>IFERROR(_xlfn.XLOOKUP($D267,'Modelling New'!$D:$D,'Modelling New'!AF:AF),"")</f>
        <v>0.98</v>
      </c>
      <c r="AN267" s="105"/>
      <c r="AO267" s="108"/>
      <c r="AP267" s="108"/>
      <c r="AQ267" s="108"/>
      <c r="AR267" s="101">
        <f>'Basic Data'!$B$98/1000</f>
        <v>8.0208999999999993</v>
      </c>
      <c r="AT267" s="7" t="str">
        <f>IFERROR(_xlfn.XLOOKUP(Table13[[#This Row],[Date]],'Raw Data'!$G:$G,'Raw Data'!$AN:$AN),"")</f>
        <v/>
      </c>
      <c r="AU267" s="7">
        <f>IFERROR(_xlfn.XLOOKUP(Table13[[#This Row],[Month Year]],'Modelling New'!$D:$D,'Modelling New'!$AO:$AO),"")</f>
        <v>8</v>
      </c>
      <c r="AV267" s="7">
        <f>SUMIF('Curtailment Records'!$C:$C,Table13[[#This Row],[Date]],'Curtailment Records'!$R:$R)/1000</f>
        <v>0</v>
      </c>
    </row>
    <row r="268" spans="1:48" x14ac:dyDescent="0.3">
      <c r="A268" s="100">
        <f t="shared" si="19"/>
        <v>46011</v>
      </c>
      <c r="B268" s="101">
        <f>YEAR(Table13[[#This Row],[Date]])+IF(MONTH(Table13[[#This Row],[Date]])&gt;=4,1,0)</f>
        <v>2026</v>
      </c>
      <c r="C268" s="7">
        <f>YEAR(Table13[[#This Row],[Date]])</f>
        <v>2025</v>
      </c>
      <c r="D268" s="102">
        <f>Table13[[#This Row],[Date]]-DAY(Table13[[#This Row],[Date]])+1</f>
        <v>45992</v>
      </c>
      <c r="E268" s="7">
        <f t="shared" si="16"/>
        <v>31</v>
      </c>
      <c r="F268" s="103" t="str">
        <f>IFERROR(_xlfn.XLOOKUP($A268,'Raw Data'!$G:$G,'Raw Data'!$AM:$AM),"")</f>
        <v/>
      </c>
      <c r="G268" s="104" t="str">
        <f>IFERROR(_xlfn.XLOOKUP($A268,'Raw Data'!$G:$G,'Raw Data'!$AB:$AB),"")</f>
        <v/>
      </c>
      <c r="H268" s="104"/>
      <c r="I268" s="104" t="str">
        <f>IFERROR(_xlfn.XLOOKUP($A268,'Raw Data'!$G:$G,'Raw Data'!$AC:$AC),"")</f>
        <v/>
      </c>
      <c r="J268" s="104"/>
      <c r="K268" s="104" t="str">
        <f>IFERROR(_xlfn.XLOOKUP($A268,'Raw Data'!$G:$G,'Raw Data'!AD:AD),"")</f>
        <v/>
      </c>
      <c r="L268" s="104" t="str">
        <f>IFERROR(_xlfn.XLOOKUP($A268,'Raw Data'!$G:$G,'Raw Data'!AE:AE),"")</f>
        <v/>
      </c>
      <c r="M268" s="104" t="str">
        <f>IFERROR(_xlfn.XLOOKUP($A268,'Raw Data'!$G:$G,'Raw Data'!AF:AF),"")</f>
        <v/>
      </c>
      <c r="N268" s="104" t="str">
        <f>IFERROR(_xlfn.XLOOKUP($A268,'Raw Data'!$G:$G,'Raw Data'!AG:AG),"")</f>
        <v/>
      </c>
      <c r="O268" s="105" t="str">
        <f>IFERROR(1-SUMIF('Plant BD'!$B:$B,$A268,'Plant BD'!$AM:$AM)/($AA268+SUMIF('Plant BD'!$B:$B,$A268,'Plant BD'!$AM:$AM)),"")</f>
        <v/>
      </c>
      <c r="P268" s="105"/>
      <c r="Q268" s="106"/>
      <c r="R268" s="105" t="str">
        <f>IFERROR(1-SUMIF('Grid BD'!$B:$B,$A268,'Grid BD'!$AE:$AE)/($AA268+SUMIF('Grid BD'!$B:$B,$A268,'Grid BD'!$AE:$AE)),"")</f>
        <v/>
      </c>
      <c r="T268" s="106"/>
      <c r="U268" s="107" t="str">
        <f t="shared" si="17"/>
        <v/>
      </c>
      <c r="V268" s="107"/>
      <c r="W268" s="108" t="str">
        <f t="shared" si="18"/>
        <v/>
      </c>
      <c r="X268" s="101" t="str">
        <f>IFERROR(_xlfn.XLOOKUP($A268,'Raw Data'!$G:$G,'Raw Data'!AI:AI),"")</f>
        <v/>
      </c>
      <c r="Y268" s="101" t="str">
        <f>IFERROR(_xlfn.XLOOKUP($A268,'Raw Data'!$G:$G,'Raw Data'!AJ:AJ),"")</f>
        <v/>
      </c>
      <c r="Z268" s="101" t="str">
        <f>IFERROR(_xlfn.XLOOKUP($A268,'Raw Data'!$G:$G,'Raw Data'!AK:AK),"")</f>
        <v/>
      </c>
      <c r="AA268" s="101" t="str">
        <f>IFERROR(_xlfn.XLOOKUP($A268,'Raw Data'!$G:$G,'Raw Data'!$AL:$AL)*(1+(_xlfn.XLOOKUP(Table13[[#This Row],[Month Year]],JMR!$A:$A,JMR!$J:$J))),"")</f>
        <v/>
      </c>
      <c r="AB268" s="101" t="str">
        <f>IFERROR(_xlfn.XLOOKUP($A268,'Raw Data'!$G:$G,'Raw Data'!H:H),"")</f>
        <v/>
      </c>
      <c r="AC268" s="67">
        <f>IFERROR(_xlfn.XLOOKUP($D268,'Modelling New'!$D:$D,'Modelling New'!P:P),"")</f>
        <v>5.2806451612903222</v>
      </c>
      <c r="AD268" s="101">
        <f>IFERROR(_xlfn.XLOOKUP($D268,'Modelling New'!$D:$D,'Modelling New'!$T:$T)*1000,"")</f>
        <v>31172.693339085006</v>
      </c>
      <c r="AE268" s="109">
        <f>IFERROR(_xlfn.XLOOKUP($D268,'Modelling New'!$D:$D,'Modelling New'!O:O),"")</f>
        <v>0.73597699552347362</v>
      </c>
      <c r="AF268" s="108">
        <f>IFERROR(_xlfn.XLOOKUP($D268,'Modelling New'!$D:$D,'Modelling New'!W:W),"")</f>
        <v>0.16193472334300082</v>
      </c>
      <c r="AG268" s="108">
        <f>IFERROR(_xlfn.XLOOKUP($D268,'Modelling New'!$D:$D,'Modelling New'!AE:AE),"")</f>
        <v>0.98040000000000005</v>
      </c>
      <c r="AH268" s="128">
        <f>IFERROR(_xlfn.XLOOKUP($D268,'Modelling New'!$D:$D,'Modelling New'!AF:AF),"")</f>
        <v>0.98</v>
      </c>
      <c r="AN268" s="105"/>
      <c r="AO268" s="108"/>
      <c r="AP268" s="108"/>
      <c r="AQ268" s="108"/>
      <c r="AR268" s="101">
        <f>'Basic Data'!$B$98/1000</f>
        <v>8.0208999999999993</v>
      </c>
      <c r="AT268" s="7" t="str">
        <f>IFERROR(_xlfn.XLOOKUP(Table13[[#This Row],[Date]],'Raw Data'!$G:$G,'Raw Data'!$AN:$AN),"")</f>
        <v/>
      </c>
      <c r="AU268" s="7">
        <f>IFERROR(_xlfn.XLOOKUP(Table13[[#This Row],[Month Year]],'Modelling New'!$D:$D,'Modelling New'!$AO:$AO),"")</f>
        <v>8</v>
      </c>
      <c r="AV268" s="7">
        <f>SUMIF('Curtailment Records'!$C:$C,Table13[[#This Row],[Date]],'Curtailment Records'!$R:$R)/1000</f>
        <v>0</v>
      </c>
    </row>
    <row r="269" spans="1:48" x14ac:dyDescent="0.3">
      <c r="A269" s="100">
        <f t="shared" si="19"/>
        <v>46012</v>
      </c>
      <c r="B269" s="101">
        <f>YEAR(Table13[[#This Row],[Date]])+IF(MONTH(Table13[[#This Row],[Date]])&gt;=4,1,0)</f>
        <v>2026</v>
      </c>
      <c r="C269" s="7">
        <f>YEAR(Table13[[#This Row],[Date]])</f>
        <v>2025</v>
      </c>
      <c r="D269" s="102">
        <f>Table13[[#This Row],[Date]]-DAY(Table13[[#This Row],[Date]])+1</f>
        <v>45992</v>
      </c>
      <c r="E269" s="7">
        <f t="shared" si="16"/>
        <v>31</v>
      </c>
      <c r="F269" s="103" t="str">
        <f>IFERROR(_xlfn.XLOOKUP($A269,'Raw Data'!$G:$G,'Raw Data'!$AM:$AM),"")</f>
        <v/>
      </c>
      <c r="G269" s="104" t="str">
        <f>IFERROR(_xlfn.XLOOKUP($A269,'Raw Data'!$G:$G,'Raw Data'!$AB:$AB),"")</f>
        <v/>
      </c>
      <c r="H269" s="104"/>
      <c r="I269" s="104" t="str">
        <f>IFERROR(_xlfn.XLOOKUP($A269,'Raw Data'!$G:$G,'Raw Data'!$AC:$AC),"")</f>
        <v/>
      </c>
      <c r="J269" s="104"/>
      <c r="K269" s="104" t="str">
        <f>IFERROR(_xlfn.XLOOKUP($A269,'Raw Data'!$G:$G,'Raw Data'!AD:AD),"")</f>
        <v/>
      </c>
      <c r="L269" s="104" t="str">
        <f>IFERROR(_xlfn.XLOOKUP($A269,'Raw Data'!$G:$G,'Raw Data'!AE:AE),"")</f>
        <v/>
      </c>
      <c r="M269" s="104" t="str">
        <f>IFERROR(_xlfn.XLOOKUP($A269,'Raw Data'!$G:$G,'Raw Data'!AF:AF),"")</f>
        <v/>
      </c>
      <c r="N269" s="104" t="str">
        <f>IFERROR(_xlfn.XLOOKUP($A269,'Raw Data'!$G:$G,'Raw Data'!AG:AG),"")</f>
        <v/>
      </c>
      <c r="O269" s="105" t="str">
        <f>IFERROR(1-SUMIF('Plant BD'!$B:$B,$A269,'Plant BD'!$AM:$AM)/($AA269+SUMIF('Plant BD'!$B:$B,$A269,'Plant BD'!$AM:$AM)),"")</f>
        <v/>
      </c>
      <c r="P269" s="105"/>
      <c r="Q269" s="106"/>
      <c r="R269" s="105" t="str">
        <f>IFERROR(1-SUMIF('Grid BD'!$B:$B,$A269,'Grid BD'!$AE:$AE)/($AA269+SUMIF('Grid BD'!$B:$B,$A269,'Grid BD'!$AE:$AE)),"")</f>
        <v/>
      </c>
      <c r="T269" s="106"/>
      <c r="U269" s="107" t="str">
        <f t="shared" si="17"/>
        <v/>
      </c>
      <c r="V269" s="107"/>
      <c r="W269" s="108" t="str">
        <f t="shared" si="18"/>
        <v/>
      </c>
      <c r="X269" s="101" t="str">
        <f>IFERROR(_xlfn.XLOOKUP($A269,'Raw Data'!$G:$G,'Raw Data'!AI:AI),"")</f>
        <v/>
      </c>
      <c r="Y269" s="101" t="str">
        <f>IFERROR(_xlfn.XLOOKUP($A269,'Raw Data'!$G:$G,'Raw Data'!AJ:AJ),"")</f>
        <v/>
      </c>
      <c r="Z269" s="101" t="str">
        <f>IFERROR(_xlfn.XLOOKUP($A269,'Raw Data'!$G:$G,'Raw Data'!AK:AK),"")</f>
        <v/>
      </c>
      <c r="AA269" s="101" t="str">
        <f>IFERROR(_xlfn.XLOOKUP($A269,'Raw Data'!$G:$G,'Raw Data'!$AL:$AL)*(1+(_xlfn.XLOOKUP(Table13[[#This Row],[Month Year]],JMR!$A:$A,JMR!$J:$J))),"")</f>
        <v/>
      </c>
      <c r="AB269" s="101" t="str">
        <f>IFERROR(_xlfn.XLOOKUP($A269,'Raw Data'!$G:$G,'Raw Data'!H:H),"")</f>
        <v/>
      </c>
      <c r="AC269" s="67">
        <f>IFERROR(_xlfn.XLOOKUP($D269,'Modelling New'!$D:$D,'Modelling New'!P:P),"")</f>
        <v>5.2806451612903222</v>
      </c>
      <c r="AD269" s="101">
        <f>IFERROR(_xlfn.XLOOKUP($D269,'Modelling New'!$D:$D,'Modelling New'!$T:$T)*1000,"")</f>
        <v>31172.693339085006</v>
      </c>
      <c r="AE269" s="109">
        <f>IFERROR(_xlfn.XLOOKUP($D269,'Modelling New'!$D:$D,'Modelling New'!O:O),"")</f>
        <v>0.73597699552347362</v>
      </c>
      <c r="AF269" s="108">
        <f>IFERROR(_xlfn.XLOOKUP($D269,'Modelling New'!$D:$D,'Modelling New'!W:W),"")</f>
        <v>0.16193472334300082</v>
      </c>
      <c r="AG269" s="108">
        <f>IFERROR(_xlfn.XLOOKUP($D269,'Modelling New'!$D:$D,'Modelling New'!AE:AE),"")</f>
        <v>0.98040000000000005</v>
      </c>
      <c r="AH269" s="128">
        <f>IFERROR(_xlfn.XLOOKUP($D269,'Modelling New'!$D:$D,'Modelling New'!AF:AF),"")</f>
        <v>0.98</v>
      </c>
      <c r="AN269" s="105"/>
      <c r="AO269" s="108"/>
      <c r="AP269" s="108"/>
      <c r="AQ269" s="108"/>
      <c r="AR269" s="101">
        <f>'Basic Data'!$B$98/1000</f>
        <v>8.0208999999999993</v>
      </c>
      <c r="AT269" s="7" t="str">
        <f>IFERROR(_xlfn.XLOOKUP(Table13[[#This Row],[Date]],'Raw Data'!$G:$G,'Raw Data'!$AN:$AN),"")</f>
        <v/>
      </c>
      <c r="AU269" s="7">
        <f>IFERROR(_xlfn.XLOOKUP(Table13[[#This Row],[Month Year]],'Modelling New'!$D:$D,'Modelling New'!$AO:$AO),"")</f>
        <v>8</v>
      </c>
      <c r="AV269" s="7">
        <f>SUMIF('Curtailment Records'!$C:$C,Table13[[#This Row],[Date]],'Curtailment Records'!$R:$R)/1000</f>
        <v>0</v>
      </c>
    </row>
    <row r="270" spans="1:48" x14ac:dyDescent="0.3">
      <c r="A270" s="100">
        <f t="shared" si="19"/>
        <v>46013</v>
      </c>
      <c r="B270" s="101">
        <f>YEAR(Table13[[#This Row],[Date]])+IF(MONTH(Table13[[#This Row],[Date]])&gt;=4,1,0)</f>
        <v>2026</v>
      </c>
      <c r="C270" s="7">
        <f>YEAR(Table13[[#This Row],[Date]])</f>
        <v>2025</v>
      </c>
      <c r="D270" s="102">
        <f>Table13[[#This Row],[Date]]-DAY(Table13[[#This Row],[Date]])+1</f>
        <v>45992</v>
      </c>
      <c r="E270" s="7">
        <f t="shared" si="16"/>
        <v>31</v>
      </c>
      <c r="F270" s="103" t="str">
        <f>IFERROR(_xlfn.XLOOKUP($A270,'Raw Data'!$G:$G,'Raw Data'!$AM:$AM),"")</f>
        <v/>
      </c>
      <c r="G270" s="104" t="str">
        <f>IFERROR(_xlfn.XLOOKUP($A270,'Raw Data'!$G:$G,'Raw Data'!$AB:$AB),"")</f>
        <v/>
      </c>
      <c r="H270" s="104"/>
      <c r="I270" s="104" t="str">
        <f>IFERROR(_xlfn.XLOOKUP($A270,'Raw Data'!$G:$G,'Raw Data'!$AC:$AC),"")</f>
        <v/>
      </c>
      <c r="J270" s="104"/>
      <c r="K270" s="104" t="str">
        <f>IFERROR(_xlfn.XLOOKUP($A270,'Raw Data'!$G:$G,'Raw Data'!AD:AD),"")</f>
        <v/>
      </c>
      <c r="L270" s="104" t="str">
        <f>IFERROR(_xlfn.XLOOKUP($A270,'Raw Data'!$G:$G,'Raw Data'!AE:AE),"")</f>
        <v/>
      </c>
      <c r="M270" s="104" t="str">
        <f>IFERROR(_xlfn.XLOOKUP($A270,'Raw Data'!$G:$G,'Raw Data'!AF:AF),"")</f>
        <v/>
      </c>
      <c r="N270" s="104" t="str">
        <f>IFERROR(_xlfn.XLOOKUP($A270,'Raw Data'!$G:$G,'Raw Data'!AG:AG),"")</f>
        <v/>
      </c>
      <c r="O270" s="105" t="str">
        <f>IFERROR(1-SUMIF('Plant BD'!$B:$B,$A270,'Plant BD'!$AM:$AM)/($AA270+SUMIF('Plant BD'!$B:$B,$A270,'Plant BD'!$AM:$AM)),"")</f>
        <v/>
      </c>
      <c r="P270" s="105"/>
      <c r="Q270" s="106"/>
      <c r="R270" s="105" t="str">
        <f>IFERROR(1-SUMIF('Grid BD'!$B:$B,$A270,'Grid BD'!$AE:$AE)/($AA270+SUMIF('Grid BD'!$B:$B,$A270,'Grid BD'!$AE:$AE)),"")</f>
        <v/>
      </c>
      <c r="T270" s="106"/>
      <c r="U270" s="107" t="str">
        <f t="shared" si="17"/>
        <v/>
      </c>
      <c r="V270" s="107"/>
      <c r="W270" s="108" t="str">
        <f t="shared" si="18"/>
        <v/>
      </c>
      <c r="X270" s="101" t="str">
        <f>IFERROR(_xlfn.XLOOKUP($A270,'Raw Data'!$G:$G,'Raw Data'!AI:AI),"")</f>
        <v/>
      </c>
      <c r="Y270" s="101" t="str">
        <f>IFERROR(_xlfn.XLOOKUP($A270,'Raw Data'!$G:$G,'Raw Data'!AJ:AJ),"")</f>
        <v/>
      </c>
      <c r="Z270" s="101" t="str">
        <f>IFERROR(_xlfn.XLOOKUP($A270,'Raw Data'!$G:$G,'Raw Data'!AK:AK),"")</f>
        <v/>
      </c>
      <c r="AA270" s="101" t="str">
        <f>IFERROR(_xlfn.XLOOKUP($A270,'Raw Data'!$G:$G,'Raw Data'!$AL:$AL)*(1+(_xlfn.XLOOKUP(Table13[[#This Row],[Month Year]],JMR!$A:$A,JMR!$J:$J))),"")</f>
        <v/>
      </c>
      <c r="AB270" s="101" t="str">
        <f>IFERROR(_xlfn.XLOOKUP($A270,'Raw Data'!$G:$G,'Raw Data'!H:H),"")</f>
        <v/>
      </c>
      <c r="AC270" s="67">
        <f>IFERROR(_xlfn.XLOOKUP($D270,'Modelling New'!$D:$D,'Modelling New'!P:P),"")</f>
        <v>5.2806451612903222</v>
      </c>
      <c r="AD270" s="101">
        <f>IFERROR(_xlfn.XLOOKUP($D270,'Modelling New'!$D:$D,'Modelling New'!$T:$T)*1000,"")</f>
        <v>31172.693339085006</v>
      </c>
      <c r="AE270" s="109">
        <f>IFERROR(_xlfn.XLOOKUP($D270,'Modelling New'!$D:$D,'Modelling New'!O:O),"")</f>
        <v>0.73597699552347362</v>
      </c>
      <c r="AF270" s="108">
        <f>IFERROR(_xlfn.XLOOKUP($D270,'Modelling New'!$D:$D,'Modelling New'!W:W),"")</f>
        <v>0.16193472334300082</v>
      </c>
      <c r="AG270" s="108">
        <f>IFERROR(_xlfn.XLOOKUP($D270,'Modelling New'!$D:$D,'Modelling New'!AE:AE),"")</f>
        <v>0.98040000000000005</v>
      </c>
      <c r="AH270" s="128">
        <f>IFERROR(_xlfn.XLOOKUP($D270,'Modelling New'!$D:$D,'Modelling New'!AF:AF),"")</f>
        <v>0.98</v>
      </c>
      <c r="AN270" s="105"/>
      <c r="AO270" s="108"/>
      <c r="AP270" s="108"/>
      <c r="AQ270" s="108"/>
      <c r="AR270" s="101">
        <f>'Basic Data'!$B$98/1000</f>
        <v>8.0208999999999993</v>
      </c>
      <c r="AT270" s="7" t="str">
        <f>IFERROR(_xlfn.XLOOKUP(Table13[[#This Row],[Date]],'Raw Data'!$G:$G,'Raw Data'!$AN:$AN),"")</f>
        <v/>
      </c>
      <c r="AU270" s="7">
        <f>IFERROR(_xlfn.XLOOKUP(Table13[[#This Row],[Month Year]],'Modelling New'!$D:$D,'Modelling New'!$AO:$AO),"")</f>
        <v>8</v>
      </c>
      <c r="AV270" s="7">
        <f>SUMIF('Curtailment Records'!$C:$C,Table13[[#This Row],[Date]],'Curtailment Records'!$R:$R)/1000</f>
        <v>0</v>
      </c>
    </row>
    <row r="271" spans="1:48" x14ac:dyDescent="0.3">
      <c r="A271" s="100">
        <f t="shared" si="19"/>
        <v>46014</v>
      </c>
      <c r="B271" s="101">
        <f>YEAR(Table13[[#This Row],[Date]])+IF(MONTH(Table13[[#This Row],[Date]])&gt;=4,1,0)</f>
        <v>2026</v>
      </c>
      <c r="C271" s="7">
        <f>YEAR(Table13[[#This Row],[Date]])</f>
        <v>2025</v>
      </c>
      <c r="D271" s="102">
        <f>Table13[[#This Row],[Date]]-DAY(Table13[[#This Row],[Date]])+1</f>
        <v>45992</v>
      </c>
      <c r="E271" s="7">
        <f t="shared" si="16"/>
        <v>31</v>
      </c>
      <c r="F271" s="103" t="str">
        <f>IFERROR(_xlfn.XLOOKUP($A271,'Raw Data'!$G:$G,'Raw Data'!$AM:$AM),"")</f>
        <v/>
      </c>
      <c r="G271" s="104" t="str">
        <f>IFERROR(_xlfn.XLOOKUP($A271,'Raw Data'!$G:$G,'Raw Data'!$AB:$AB),"")</f>
        <v/>
      </c>
      <c r="H271" s="104"/>
      <c r="I271" s="104" t="str">
        <f>IFERROR(_xlfn.XLOOKUP($A271,'Raw Data'!$G:$G,'Raw Data'!$AC:$AC),"")</f>
        <v/>
      </c>
      <c r="J271" s="104"/>
      <c r="K271" s="104" t="str">
        <f>IFERROR(_xlfn.XLOOKUP($A271,'Raw Data'!$G:$G,'Raw Data'!AD:AD),"")</f>
        <v/>
      </c>
      <c r="L271" s="104" t="str">
        <f>IFERROR(_xlfn.XLOOKUP($A271,'Raw Data'!$G:$G,'Raw Data'!AE:AE),"")</f>
        <v/>
      </c>
      <c r="M271" s="104" t="str">
        <f>IFERROR(_xlfn.XLOOKUP($A271,'Raw Data'!$G:$G,'Raw Data'!AF:AF),"")</f>
        <v/>
      </c>
      <c r="N271" s="104" t="str">
        <f>IFERROR(_xlfn.XLOOKUP($A271,'Raw Data'!$G:$G,'Raw Data'!AG:AG),"")</f>
        <v/>
      </c>
      <c r="O271" s="105" t="str">
        <f>IFERROR(1-SUMIF('Plant BD'!$B:$B,$A271,'Plant BD'!$AM:$AM)/($AA271+SUMIF('Plant BD'!$B:$B,$A271,'Plant BD'!$AM:$AM)),"")</f>
        <v/>
      </c>
      <c r="P271" s="105"/>
      <c r="Q271" s="106"/>
      <c r="R271" s="105" t="str">
        <f>IFERROR(1-SUMIF('Grid BD'!$B:$B,$A271,'Grid BD'!$AE:$AE)/($AA271+SUMIF('Grid BD'!$B:$B,$A271,'Grid BD'!$AE:$AE)),"")</f>
        <v/>
      </c>
      <c r="T271" s="106"/>
      <c r="U271" s="107" t="str">
        <f t="shared" si="17"/>
        <v/>
      </c>
      <c r="V271" s="107"/>
      <c r="W271" s="108" t="str">
        <f t="shared" si="18"/>
        <v/>
      </c>
      <c r="X271" s="101" t="str">
        <f>IFERROR(_xlfn.XLOOKUP($A271,'Raw Data'!$G:$G,'Raw Data'!AI:AI),"")</f>
        <v/>
      </c>
      <c r="Y271" s="101" t="str">
        <f>IFERROR(_xlfn.XLOOKUP($A271,'Raw Data'!$G:$G,'Raw Data'!AJ:AJ),"")</f>
        <v/>
      </c>
      <c r="Z271" s="101" t="str">
        <f>IFERROR(_xlfn.XLOOKUP($A271,'Raw Data'!$G:$G,'Raw Data'!AK:AK),"")</f>
        <v/>
      </c>
      <c r="AA271" s="101" t="str">
        <f>IFERROR(_xlfn.XLOOKUP($A271,'Raw Data'!$G:$G,'Raw Data'!$AL:$AL)*(1+(_xlfn.XLOOKUP(Table13[[#This Row],[Month Year]],JMR!$A:$A,JMR!$J:$J))),"")</f>
        <v/>
      </c>
      <c r="AB271" s="101" t="str">
        <f>IFERROR(_xlfn.XLOOKUP($A271,'Raw Data'!$G:$G,'Raw Data'!H:H),"")</f>
        <v/>
      </c>
      <c r="AC271" s="67">
        <f>IFERROR(_xlfn.XLOOKUP($D271,'Modelling New'!$D:$D,'Modelling New'!P:P),"")</f>
        <v>5.2806451612903222</v>
      </c>
      <c r="AD271" s="101">
        <f>IFERROR(_xlfn.XLOOKUP($D271,'Modelling New'!$D:$D,'Modelling New'!$T:$T)*1000,"")</f>
        <v>31172.693339085006</v>
      </c>
      <c r="AE271" s="109">
        <f>IFERROR(_xlfn.XLOOKUP($D271,'Modelling New'!$D:$D,'Modelling New'!O:O),"")</f>
        <v>0.73597699552347362</v>
      </c>
      <c r="AF271" s="108">
        <f>IFERROR(_xlfn.XLOOKUP($D271,'Modelling New'!$D:$D,'Modelling New'!W:W),"")</f>
        <v>0.16193472334300082</v>
      </c>
      <c r="AG271" s="108">
        <f>IFERROR(_xlfn.XLOOKUP($D271,'Modelling New'!$D:$D,'Modelling New'!AE:AE),"")</f>
        <v>0.98040000000000005</v>
      </c>
      <c r="AH271" s="128">
        <f>IFERROR(_xlfn.XLOOKUP($D271,'Modelling New'!$D:$D,'Modelling New'!AF:AF),"")</f>
        <v>0.98</v>
      </c>
      <c r="AN271" s="105"/>
      <c r="AO271" s="108"/>
      <c r="AP271" s="108"/>
      <c r="AQ271" s="108"/>
      <c r="AR271" s="101">
        <f>'Basic Data'!$B$98/1000</f>
        <v>8.0208999999999993</v>
      </c>
      <c r="AT271" s="7" t="str">
        <f>IFERROR(_xlfn.XLOOKUP(Table13[[#This Row],[Date]],'Raw Data'!$G:$G,'Raw Data'!$AN:$AN),"")</f>
        <v/>
      </c>
      <c r="AU271" s="7">
        <f>IFERROR(_xlfn.XLOOKUP(Table13[[#This Row],[Month Year]],'Modelling New'!$D:$D,'Modelling New'!$AO:$AO),"")</f>
        <v>8</v>
      </c>
      <c r="AV271" s="7">
        <f>SUMIF('Curtailment Records'!$C:$C,Table13[[#This Row],[Date]],'Curtailment Records'!$R:$R)/1000</f>
        <v>0</v>
      </c>
    </row>
    <row r="272" spans="1:48" x14ac:dyDescent="0.3">
      <c r="A272" s="100">
        <f t="shared" si="19"/>
        <v>46015</v>
      </c>
      <c r="B272" s="101">
        <f>YEAR(Table13[[#This Row],[Date]])+IF(MONTH(Table13[[#This Row],[Date]])&gt;=4,1,0)</f>
        <v>2026</v>
      </c>
      <c r="C272" s="7">
        <f>YEAR(Table13[[#This Row],[Date]])</f>
        <v>2025</v>
      </c>
      <c r="D272" s="102">
        <f>Table13[[#This Row],[Date]]-DAY(Table13[[#This Row],[Date]])+1</f>
        <v>45992</v>
      </c>
      <c r="E272" s="7">
        <f t="shared" si="16"/>
        <v>31</v>
      </c>
      <c r="F272" s="103" t="str">
        <f>IFERROR(_xlfn.XLOOKUP($A272,'Raw Data'!$G:$G,'Raw Data'!$AM:$AM),"")</f>
        <v/>
      </c>
      <c r="G272" s="104" t="str">
        <f>IFERROR(_xlfn.XLOOKUP($A272,'Raw Data'!$G:$G,'Raw Data'!$AB:$AB),"")</f>
        <v/>
      </c>
      <c r="H272" s="104"/>
      <c r="I272" s="104" t="str">
        <f>IFERROR(_xlfn.XLOOKUP($A272,'Raw Data'!$G:$G,'Raw Data'!$AC:$AC),"")</f>
        <v/>
      </c>
      <c r="J272" s="104"/>
      <c r="K272" s="104" t="str">
        <f>IFERROR(_xlfn.XLOOKUP($A272,'Raw Data'!$G:$G,'Raw Data'!AD:AD),"")</f>
        <v/>
      </c>
      <c r="L272" s="104" t="str">
        <f>IFERROR(_xlfn.XLOOKUP($A272,'Raw Data'!$G:$G,'Raw Data'!AE:AE),"")</f>
        <v/>
      </c>
      <c r="M272" s="104" t="str">
        <f>IFERROR(_xlfn.XLOOKUP($A272,'Raw Data'!$G:$G,'Raw Data'!AF:AF),"")</f>
        <v/>
      </c>
      <c r="N272" s="104" t="str">
        <f>IFERROR(_xlfn.XLOOKUP($A272,'Raw Data'!$G:$G,'Raw Data'!AG:AG),"")</f>
        <v/>
      </c>
      <c r="O272" s="105" t="str">
        <f>IFERROR(1-SUMIF('Plant BD'!$B:$B,$A272,'Plant BD'!$AM:$AM)/($AA272+SUMIF('Plant BD'!$B:$B,$A272,'Plant BD'!$AM:$AM)),"")</f>
        <v/>
      </c>
      <c r="P272" s="105"/>
      <c r="Q272" s="106"/>
      <c r="R272" s="105" t="str">
        <f>IFERROR(1-SUMIF('Grid BD'!$B:$B,$A272,'Grid BD'!$AE:$AE)/($AA272+SUMIF('Grid BD'!$B:$B,$A272,'Grid BD'!$AE:$AE)),"")</f>
        <v/>
      </c>
      <c r="T272" s="106"/>
      <c r="U272" s="107" t="str">
        <f t="shared" si="17"/>
        <v/>
      </c>
      <c r="V272" s="107"/>
      <c r="W272" s="108" t="str">
        <f t="shared" si="18"/>
        <v/>
      </c>
      <c r="X272" s="101" t="str">
        <f>IFERROR(_xlfn.XLOOKUP($A272,'Raw Data'!$G:$G,'Raw Data'!AI:AI),"")</f>
        <v/>
      </c>
      <c r="Y272" s="101" t="str">
        <f>IFERROR(_xlfn.XLOOKUP($A272,'Raw Data'!$G:$G,'Raw Data'!AJ:AJ),"")</f>
        <v/>
      </c>
      <c r="Z272" s="101" t="str">
        <f>IFERROR(_xlfn.XLOOKUP($A272,'Raw Data'!$G:$G,'Raw Data'!AK:AK),"")</f>
        <v/>
      </c>
      <c r="AA272" s="101" t="str">
        <f>IFERROR(_xlfn.XLOOKUP($A272,'Raw Data'!$G:$G,'Raw Data'!$AL:$AL)*(1+(_xlfn.XLOOKUP(Table13[[#This Row],[Month Year]],JMR!$A:$A,JMR!$J:$J))),"")</f>
        <v/>
      </c>
      <c r="AB272" s="101" t="str">
        <f>IFERROR(_xlfn.XLOOKUP($A272,'Raw Data'!$G:$G,'Raw Data'!H:H),"")</f>
        <v/>
      </c>
      <c r="AC272" s="67">
        <f>IFERROR(_xlfn.XLOOKUP($D272,'Modelling New'!$D:$D,'Modelling New'!P:P),"")</f>
        <v>5.2806451612903222</v>
      </c>
      <c r="AD272" s="101">
        <f>IFERROR(_xlfn.XLOOKUP($D272,'Modelling New'!$D:$D,'Modelling New'!$T:$T)*1000,"")</f>
        <v>31172.693339085006</v>
      </c>
      <c r="AE272" s="109">
        <f>IFERROR(_xlfn.XLOOKUP($D272,'Modelling New'!$D:$D,'Modelling New'!O:O),"")</f>
        <v>0.73597699552347362</v>
      </c>
      <c r="AF272" s="108">
        <f>IFERROR(_xlfn.XLOOKUP($D272,'Modelling New'!$D:$D,'Modelling New'!W:W),"")</f>
        <v>0.16193472334300082</v>
      </c>
      <c r="AG272" s="108">
        <f>IFERROR(_xlfn.XLOOKUP($D272,'Modelling New'!$D:$D,'Modelling New'!AE:AE),"")</f>
        <v>0.98040000000000005</v>
      </c>
      <c r="AH272" s="128">
        <f>IFERROR(_xlfn.XLOOKUP($D272,'Modelling New'!$D:$D,'Modelling New'!AF:AF),"")</f>
        <v>0.98</v>
      </c>
      <c r="AN272" s="105"/>
      <c r="AO272" s="108"/>
      <c r="AP272" s="108"/>
      <c r="AQ272" s="108"/>
      <c r="AR272" s="101">
        <f>'Basic Data'!$B$98/1000</f>
        <v>8.0208999999999993</v>
      </c>
      <c r="AT272" s="7" t="str">
        <f>IFERROR(_xlfn.XLOOKUP(Table13[[#This Row],[Date]],'Raw Data'!$G:$G,'Raw Data'!$AN:$AN),"")</f>
        <v/>
      </c>
      <c r="AU272" s="7">
        <f>IFERROR(_xlfn.XLOOKUP(Table13[[#This Row],[Month Year]],'Modelling New'!$D:$D,'Modelling New'!$AO:$AO),"")</f>
        <v>8</v>
      </c>
      <c r="AV272" s="7">
        <f>SUMIF('Curtailment Records'!$C:$C,Table13[[#This Row],[Date]],'Curtailment Records'!$R:$R)/1000</f>
        <v>0</v>
      </c>
    </row>
    <row r="273" spans="1:48" x14ac:dyDescent="0.3">
      <c r="A273" s="100">
        <f t="shared" si="19"/>
        <v>46016</v>
      </c>
      <c r="B273" s="101">
        <f>YEAR(Table13[[#This Row],[Date]])+IF(MONTH(Table13[[#This Row],[Date]])&gt;=4,1,0)</f>
        <v>2026</v>
      </c>
      <c r="C273" s="7">
        <f>YEAR(Table13[[#This Row],[Date]])</f>
        <v>2025</v>
      </c>
      <c r="D273" s="102">
        <f>Table13[[#This Row],[Date]]-DAY(Table13[[#This Row],[Date]])+1</f>
        <v>45992</v>
      </c>
      <c r="E273" s="7">
        <f t="shared" si="16"/>
        <v>31</v>
      </c>
      <c r="F273" s="103" t="str">
        <f>IFERROR(_xlfn.XLOOKUP($A273,'Raw Data'!$G:$G,'Raw Data'!$AM:$AM),"")</f>
        <v/>
      </c>
      <c r="G273" s="104" t="str">
        <f>IFERROR(_xlfn.XLOOKUP($A273,'Raw Data'!$G:$G,'Raw Data'!$AB:$AB),"")</f>
        <v/>
      </c>
      <c r="H273" s="104"/>
      <c r="I273" s="104" t="str">
        <f>IFERROR(_xlfn.XLOOKUP($A273,'Raw Data'!$G:$G,'Raw Data'!$AC:$AC),"")</f>
        <v/>
      </c>
      <c r="J273" s="104"/>
      <c r="K273" s="104" t="str">
        <f>IFERROR(_xlfn.XLOOKUP($A273,'Raw Data'!$G:$G,'Raw Data'!AD:AD),"")</f>
        <v/>
      </c>
      <c r="L273" s="104" t="str">
        <f>IFERROR(_xlfn.XLOOKUP($A273,'Raw Data'!$G:$G,'Raw Data'!AE:AE),"")</f>
        <v/>
      </c>
      <c r="M273" s="104" t="str">
        <f>IFERROR(_xlfn.XLOOKUP($A273,'Raw Data'!$G:$G,'Raw Data'!AF:AF),"")</f>
        <v/>
      </c>
      <c r="N273" s="104" t="str">
        <f>IFERROR(_xlfn.XLOOKUP($A273,'Raw Data'!$G:$G,'Raw Data'!AG:AG),"")</f>
        <v/>
      </c>
      <c r="O273" s="105" t="str">
        <f>IFERROR(1-SUMIF('Plant BD'!$B:$B,$A273,'Plant BD'!$AM:$AM)/($AA273+SUMIF('Plant BD'!$B:$B,$A273,'Plant BD'!$AM:$AM)),"")</f>
        <v/>
      </c>
      <c r="P273" s="105"/>
      <c r="Q273" s="106"/>
      <c r="R273" s="105" t="str">
        <f>IFERROR(1-SUMIF('Grid BD'!$B:$B,$A273,'Grid BD'!$AE:$AE)/($AA273+SUMIF('Grid BD'!$B:$B,$A273,'Grid BD'!$AE:$AE)),"")</f>
        <v/>
      </c>
      <c r="T273" s="106"/>
      <c r="U273" s="107" t="str">
        <f t="shared" si="17"/>
        <v/>
      </c>
      <c r="V273" s="107"/>
      <c r="W273" s="108" t="str">
        <f t="shared" si="18"/>
        <v/>
      </c>
      <c r="X273" s="101" t="str">
        <f>IFERROR(_xlfn.XLOOKUP($A273,'Raw Data'!$G:$G,'Raw Data'!AI:AI),"")</f>
        <v/>
      </c>
      <c r="Y273" s="101" t="str">
        <f>IFERROR(_xlfn.XLOOKUP($A273,'Raw Data'!$G:$G,'Raw Data'!AJ:AJ),"")</f>
        <v/>
      </c>
      <c r="Z273" s="101" t="str">
        <f>IFERROR(_xlfn.XLOOKUP($A273,'Raw Data'!$G:$G,'Raw Data'!AK:AK),"")</f>
        <v/>
      </c>
      <c r="AA273" s="101" t="str">
        <f>IFERROR(_xlfn.XLOOKUP($A273,'Raw Data'!$G:$G,'Raw Data'!$AL:$AL)*(1+(_xlfn.XLOOKUP(Table13[[#This Row],[Month Year]],JMR!$A:$A,JMR!$J:$J))),"")</f>
        <v/>
      </c>
      <c r="AB273" s="101" t="str">
        <f>IFERROR(_xlfn.XLOOKUP($A273,'Raw Data'!$G:$G,'Raw Data'!H:H),"")</f>
        <v/>
      </c>
      <c r="AC273" s="67">
        <f>IFERROR(_xlfn.XLOOKUP($D273,'Modelling New'!$D:$D,'Modelling New'!P:P),"")</f>
        <v>5.2806451612903222</v>
      </c>
      <c r="AD273" s="101">
        <f>IFERROR(_xlfn.XLOOKUP($D273,'Modelling New'!$D:$D,'Modelling New'!$T:$T)*1000,"")</f>
        <v>31172.693339085006</v>
      </c>
      <c r="AE273" s="109">
        <f>IFERROR(_xlfn.XLOOKUP($D273,'Modelling New'!$D:$D,'Modelling New'!O:O),"")</f>
        <v>0.73597699552347362</v>
      </c>
      <c r="AF273" s="108">
        <f>IFERROR(_xlfn.XLOOKUP($D273,'Modelling New'!$D:$D,'Modelling New'!W:W),"")</f>
        <v>0.16193472334300082</v>
      </c>
      <c r="AG273" s="108">
        <f>IFERROR(_xlfn.XLOOKUP($D273,'Modelling New'!$D:$D,'Modelling New'!AE:AE),"")</f>
        <v>0.98040000000000005</v>
      </c>
      <c r="AH273" s="128">
        <f>IFERROR(_xlfn.XLOOKUP($D273,'Modelling New'!$D:$D,'Modelling New'!AF:AF),"")</f>
        <v>0.98</v>
      </c>
      <c r="AN273" s="105"/>
      <c r="AO273" s="108"/>
      <c r="AP273" s="108"/>
      <c r="AQ273" s="108"/>
      <c r="AR273" s="101">
        <f>'Basic Data'!$B$98/1000</f>
        <v>8.0208999999999993</v>
      </c>
      <c r="AT273" s="7" t="str">
        <f>IFERROR(_xlfn.XLOOKUP(Table13[[#This Row],[Date]],'Raw Data'!$G:$G,'Raw Data'!$AN:$AN),"")</f>
        <v/>
      </c>
      <c r="AU273" s="7">
        <f>IFERROR(_xlfn.XLOOKUP(Table13[[#This Row],[Month Year]],'Modelling New'!$D:$D,'Modelling New'!$AO:$AO),"")</f>
        <v>8</v>
      </c>
      <c r="AV273" s="7">
        <f>SUMIF('Curtailment Records'!$C:$C,Table13[[#This Row],[Date]],'Curtailment Records'!$R:$R)/1000</f>
        <v>0</v>
      </c>
    </row>
    <row r="274" spans="1:48" x14ac:dyDescent="0.3">
      <c r="A274" s="100">
        <f t="shared" si="19"/>
        <v>46017</v>
      </c>
      <c r="B274" s="101">
        <f>YEAR(Table13[[#This Row],[Date]])+IF(MONTH(Table13[[#This Row],[Date]])&gt;=4,1,0)</f>
        <v>2026</v>
      </c>
      <c r="C274" s="7">
        <f>YEAR(Table13[[#This Row],[Date]])</f>
        <v>2025</v>
      </c>
      <c r="D274" s="102">
        <f>Table13[[#This Row],[Date]]-DAY(Table13[[#This Row],[Date]])+1</f>
        <v>45992</v>
      </c>
      <c r="E274" s="7">
        <f t="shared" si="16"/>
        <v>31</v>
      </c>
      <c r="F274" s="103" t="str">
        <f>IFERROR(_xlfn.XLOOKUP($A274,'Raw Data'!$G:$G,'Raw Data'!$AM:$AM),"")</f>
        <v/>
      </c>
      <c r="G274" s="104" t="str">
        <f>IFERROR(_xlfn.XLOOKUP($A274,'Raw Data'!$G:$G,'Raw Data'!$AB:$AB),"")</f>
        <v/>
      </c>
      <c r="H274" s="104"/>
      <c r="I274" s="104" t="str">
        <f>IFERROR(_xlfn.XLOOKUP($A274,'Raw Data'!$G:$G,'Raw Data'!$AC:$AC),"")</f>
        <v/>
      </c>
      <c r="J274" s="104"/>
      <c r="K274" s="104" t="str">
        <f>IFERROR(_xlfn.XLOOKUP($A274,'Raw Data'!$G:$G,'Raw Data'!AD:AD),"")</f>
        <v/>
      </c>
      <c r="L274" s="104" t="str">
        <f>IFERROR(_xlfn.XLOOKUP($A274,'Raw Data'!$G:$G,'Raw Data'!AE:AE),"")</f>
        <v/>
      </c>
      <c r="M274" s="104" t="str">
        <f>IFERROR(_xlfn.XLOOKUP($A274,'Raw Data'!$G:$G,'Raw Data'!AF:AF),"")</f>
        <v/>
      </c>
      <c r="N274" s="104" t="str">
        <f>IFERROR(_xlfn.XLOOKUP($A274,'Raw Data'!$G:$G,'Raw Data'!AG:AG),"")</f>
        <v/>
      </c>
      <c r="O274" s="105" t="str">
        <f>IFERROR(1-SUMIF('Plant BD'!$B:$B,$A274,'Plant BD'!$AM:$AM)/($AA274+SUMIF('Plant BD'!$B:$B,$A274,'Plant BD'!$AM:$AM)),"")</f>
        <v/>
      </c>
      <c r="P274" s="105"/>
      <c r="Q274" s="106"/>
      <c r="R274" s="105" t="str">
        <f>IFERROR(1-SUMIF('Grid BD'!$B:$B,$A274,'Grid BD'!$AE:$AE)/($AA274+SUMIF('Grid BD'!$B:$B,$A274,'Grid BD'!$AE:$AE)),"")</f>
        <v/>
      </c>
      <c r="T274" s="106"/>
      <c r="U274" s="107" t="str">
        <f t="shared" si="17"/>
        <v/>
      </c>
      <c r="V274" s="107"/>
      <c r="W274" s="108" t="str">
        <f t="shared" si="18"/>
        <v/>
      </c>
      <c r="X274" s="101" t="str">
        <f>IFERROR(_xlfn.XLOOKUP($A274,'Raw Data'!$G:$G,'Raw Data'!AI:AI),"")</f>
        <v/>
      </c>
      <c r="Y274" s="101" t="str">
        <f>IFERROR(_xlfn.XLOOKUP($A274,'Raw Data'!$G:$G,'Raw Data'!AJ:AJ),"")</f>
        <v/>
      </c>
      <c r="Z274" s="101" t="str">
        <f>IFERROR(_xlfn.XLOOKUP($A274,'Raw Data'!$G:$G,'Raw Data'!AK:AK),"")</f>
        <v/>
      </c>
      <c r="AA274" s="101" t="str">
        <f>IFERROR(_xlfn.XLOOKUP($A274,'Raw Data'!$G:$G,'Raw Data'!$AL:$AL)*(1+(_xlfn.XLOOKUP(Table13[[#This Row],[Month Year]],JMR!$A:$A,JMR!$J:$J))),"")</f>
        <v/>
      </c>
      <c r="AB274" s="101" t="str">
        <f>IFERROR(_xlfn.XLOOKUP($A274,'Raw Data'!$G:$G,'Raw Data'!H:H),"")</f>
        <v/>
      </c>
      <c r="AC274" s="67">
        <f>IFERROR(_xlfn.XLOOKUP($D274,'Modelling New'!$D:$D,'Modelling New'!P:P),"")</f>
        <v>5.2806451612903222</v>
      </c>
      <c r="AD274" s="101">
        <f>IFERROR(_xlfn.XLOOKUP($D274,'Modelling New'!$D:$D,'Modelling New'!$T:$T)*1000,"")</f>
        <v>31172.693339085006</v>
      </c>
      <c r="AE274" s="109">
        <f>IFERROR(_xlfn.XLOOKUP($D274,'Modelling New'!$D:$D,'Modelling New'!O:O),"")</f>
        <v>0.73597699552347362</v>
      </c>
      <c r="AF274" s="108">
        <f>IFERROR(_xlfn.XLOOKUP($D274,'Modelling New'!$D:$D,'Modelling New'!W:W),"")</f>
        <v>0.16193472334300082</v>
      </c>
      <c r="AG274" s="108">
        <f>IFERROR(_xlfn.XLOOKUP($D274,'Modelling New'!$D:$D,'Modelling New'!AE:AE),"")</f>
        <v>0.98040000000000005</v>
      </c>
      <c r="AH274" s="128">
        <f>IFERROR(_xlfn.XLOOKUP($D274,'Modelling New'!$D:$D,'Modelling New'!AF:AF),"")</f>
        <v>0.98</v>
      </c>
      <c r="AN274" s="105"/>
      <c r="AO274" s="108"/>
      <c r="AP274" s="108"/>
      <c r="AQ274" s="108"/>
      <c r="AR274" s="101">
        <f>'Basic Data'!$B$98/1000</f>
        <v>8.0208999999999993</v>
      </c>
      <c r="AT274" s="7" t="str">
        <f>IFERROR(_xlfn.XLOOKUP(Table13[[#This Row],[Date]],'Raw Data'!$G:$G,'Raw Data'!$AN:$AN),"")</f>
        <v/>
      </c>
      <c r="AU274" s="7">
        <f>IFERROR(_xlfn.XLOOKUP(Table13[[#This Row],[Month Year]],'Modelling New'!$D:$D,'Modelling New'!$AO:$AO),"")</f>
        <v>8</v>
      </c>
      <c r="AV274" s="7">
        <f>SUMIF('Curtailment Records'!$C:$C,Table13[[#This Row],[Date]],'Curtailment Records'!$R:$R)/1000</f>
        <v>0</v>
      </c>
    </row>
    <row r="275" spans="1:48" x14ac:dyDescent="0.3">
      <c r="A275" s="100">
        <f t="shared" si="19"/>
        <v>46018</v>
      </c>
      <c r="B275" s="101">
        <f>YEAR(Table13[[#This Row],[Date]])+IF(MONTH(Table13[[#This Row],[Date]])&gt;=4,1,0)</f>
        <v>2026</v>
      </c>
      <c r="C275" s="7">
        <f>YEAR(Table13[[#This Row],[Date]])</f>
        <v>2025</v>
      </c>
      <c r="D275" s="102">
        <f>Table13[[#This Row],[Date]]-DAY(Table13[[#This Row],[Date]])+1</f>
        <v>45992</v>
      </c>
      <c r="E275" s="7">
        <f t="shared" si="16"/>
        <v>31</v>
      </c>
      <c r="F275" s="103" t="str">
        <f>IFERROR(_xlfn.XLOOKUP($A275,'Raw Data'!$G:$G,'Raw Data'!$AM:$AM),"")</f>
        <v/>
      </c>
      <c r="G275" s="104" t="str">
        <f>IFERROR(_xlfn.XLOOKUP($A275,'Raw Data'!$G:$G,'Raw Data'!$AB:$AB),"")</f>
        <v/>
      </c>
      <c r="H275" s="104"/>
      <c r="I275" s="104" t="str">
        <f>IFERROR(_xlfn.XLOOKUP($A275,'Raw Data'!$G:$G,'Raw Data'!$AC:$AC),"")</f>
        <v/>
      </c>
      <c r="J275" s="104"/>
      <c r="K275" s="104" t="str">
        <f>IFERROR(_xlfn.XLOOKUP($A275,'Raw Data'!$G:$G,'Raw Data'!AD:AD),"")</f>
        <v/>
      </c>
      <c r="L275" s="104" t="str">
        <f>IFERROR(_xlfn.XLOOKUP($A275,'Raw Data'!$G:$G,'Raw Data'!AE:AE),"")</f>
        <v/>
      </c>
      <c r="M275" s="104" t="str">
        <f>IFERROR(_xlfn.XLOOKUP($A275,'Raw Data'!$G:$G,'Raw Data'!AF:AF),"")</f>
        <v/>
      </c>
      <c r="N275" s="104" t="str">
        <f>IFERROR(_xlfn.XLOOKUP($A275,'Raw Data'!$G:$G,'Raw Data'!AG:AG),"")</f>
        <v/>
      </c>
      <c r="O275" s="105" t="str">
        <f>IFERROR(1-SUMIF('Plant BD'!$B:$B,$A275,'Plant BD'!$AM:$AM)/($AA275+SUMIF('Plant BD'!$B:$B,$A275,'Plant BD'!$AM:$AM)),"")</f>
        <v/>
      </c>
      <c r="P275" s="105"/>
      <c r="Q275" s="106"/>
      <c r="R275" s="105" t="str">
        <f>IFERROR(1-SUMIF('Grid BD'!$B:$B,$A275,'Grid BD'!$AE:$AE)/($AA275+SUMIF('Grid BD'!$B:$B,$A275,'Grid BD'!$AE:$AE)),"")</f>
        <v/>
      </c>
      <c r="T275" s="106"/>
      <c r="U275" s="107" t="str">
        <f t="shared" si="17"/>
        <v/>
      </c>
      <c r="V275" s="107"/>
      <c r="W275" s="108" t="str">
        <f t="shared" si="18"/>
        <v/>
      </c>
      <c r="X275" s="101" t="str">
        <f>IFERROR(_xlfn.XLOOKUP($A275,'Raw Data'!$G:$G,'Raw Data'!AI:AI),"")</f>
        <v/>
      </c>
      <c r="Y275" s="101" t="str">
        <f>IFERROR(_xlfn.XLOOKUP($A275,'Raw Data'!$G:$G,'Raw Data'!AJ:AJ),"")</f>
        <v/>
      </c>
      <c r="Z275" s="101" t="str">
        <f>IFERROR(_xlfn.XLOOKUP($A275,'Raw Data'!$G:$G,'Raw Data'!AK:AK),"")</f>
        <v/>
      </c>
      <c r="AA275" s="101" t="str">
        <f>IFERROR(_xlfn.XLOOKUP($A275,'Raw Data'!$G:$G,'Raw Data'!$AL:$AL)*(1+(_xlfn.XLOOKUP(Table13[[#This Row],[Month Year]],JMR!$A:$A,JMR!$J:$J))),"")</f>
        <v/>
      </c>
      <c r="AB275" s="101" t="str">
        <f>IFERROR(_xlfn.XLOOKUP($A275,'Raw Data'!$G:$G,'Raw Data'!H:H),"")</f>
        <v/>
      </c>
      <c r="AC275" s="67">
        <f>IFERROR(_xlfn.XLOOKUP($D275,'Modelling New'!$D:$D,'Modelling New'!P:P),"")</f>
        <v>5.2806451612903222</v>
      </c>
      <c r="AD275" s="101">
        <f>IFERROR(_xlfn.XLOOKUP($D275,'Modelling New'!$D:$D,'Modelling New'!$T:$T)*1000,"")</f>
        <v>31172.693339085006</v>
      </c>
      <c r="AE275" s="109">
        <f>IFERROR(_xlfn.XLOOKUP($D275,'Modelling New'!$D:$D,'Modelling New'!O:O),"")</f>
        <v>0.73597699552347362</v>
      </c>
      <c r="AF275" s="108">
        <f>IFERROR(_xlfn.XLOOKUP($D275,'Modelling New'!$D:$D,'Modelling New'!W:W),"")</f>
        <v>0.16193472334300082</v>
      </c>
      <c r="AG275" s="108">
        <f>IFERROR(_xlfn.XLOOKUP($D275,'Modelling New'!$D:$D,'Modelling New'!AE:AE),"")</f>
        <v>0.98040000000000005</v>
      </c>
      <c r="AH275" s="128">
        <f>IFERROR(_xlfn.XLOOKUP($D275,'Modelling New'!$D:$D,'Modelling New'!AF:AF),"")</f>
        <v>0.98</v>
      </c>
      <c r="AN275" s="105"/>
      <c r="AO275" s="108"/>
      <c r="AP275" s="108"/>
      <c r="AQ275" s="108"/>
      <c r="AR275" s="101">
        <f>'Basic Data'!$B$98/1000</f>
        <v>8.0208999999999993</v>
      </c>
      <c r="AT275" s="7" t="str">
        <f>IFERROR(_xlfn.XLOOKUP(Table13[[#This Row],[Date]],'Raw Data'!$G:$G,'Raw Data'!$AN:$AN),"")</f>
        <v/>
      </c>
      <c r="AU275" s="7">
        <f>IFERROR(_xlfn.XLOOKUP(Table13[[#This Row],[Month Year]],'Modelling New'!$D:$D,'Modelling New'!$AO:$AO),"")</f>
        <v>8</v>
      </c>
      <c r="AV275" s="7">
        <f>SUMIF('Curtailment Records'!$C:$C,Table13[[#This Row],[Date]],'Curtailment Records'!$R:$R)/1000</f>
        <v>0</v>
      </c>
    </row>
    <row r="276" spans="1:48" x14ac:dyDescent="0.3">
      <c r="A276" s="100">
        <f t="shared" si="19"/>
        <v>46019</v>
      </c>
      <c r="B276" s="101">
        <f>YEAR(Table13[[#This Row],[Date]])+IF(MONTH(Table13[[#This Row],[Date]])&gt;=4,1,0)</f>
        <v>2026</v>
      </c>
      <c r="C276" s="7">
        <f>YEAR(Table13[[#This Row],[Date]])</f>
        <v>2025</v>
      </c>
      <c r="D276" s="102">
        <f>Table13[[#This Row],[Date]]-DAY(Table13[[#This Row],[Date]])+1</f>
        <v>45992</v>
      </c>
      <c r="E276" s="7">
        <f t="shared" si="16"/>
        <v>31</v>
      </c>
      <c r="F276" s="103" t="str">
        <f>IFERROR(_xlfn.XLOOKUP($A276,'Raw Data'!$G:$G,'Raw Data'!$AM:$AM),"")</f>
        <v/>
      </c>
      <c r="G276" s="104" t="str">
        <f>IFERROR(_xlfn.XLOOKUP($A276,'Raw Data'!$G:$G,'Raw Data'!$AB:$AB),"")</f>
        <v/>
      </c>
      <c r="H276" s="104"/>
      <c r="I276" s="104" t="str">
        <f>IFERROR(_xlfn.XLOOKUP($A276,'Raw Data'!$G:$G,'Raw Data'!$AC:$AC),"")</f>
        <v/>
      </c>
      <c r="J276" s="104"/>
      <c r="K276" s="104" t="str">
        <f>IFERROR(_xlfn.XLOOKUP($A276,'Raw Data'!$G:$G,'Raw Data'!AD:AD),"")</f>
        <v/>
      </c>
      <c r="L276" s="104" t="str">
        <f>IFERROR(_xlfn.XLOOKUP($A276,'Raw Data'!$G:$G,'Raw Data'!AE:AE),"")</f>
        <v/>
      </c>
      <c r="M276" s="104" t="str">
        <f>IFERROR(_xlfn.XLOOKUP($A276,'Raw Data'!$G:$G,'Raw Data'!AF:AF),"")</f>
        <v/>
      </c>
      <c r="N276" s="104" t="str">
        <f>IFERROR(_xlfn.XLOOKUP($A276,'Raw Data'!$G:$G,'Raw Data'!AG:AG),"")</f>
        <v/>
      </c>
      <c r="O276" s="105" t="str">
        <f>IFERROR(1-SUMIF('Plant BD'!$B:$B,$A276,'Plant BD'!$AM:$AM)/($AA276+SUMIF('Plant BD'!$B:$B,$A276,'Plant BD'!$AM:$AM)),"")</f>
        <v/>
      </c>
      <c r="P276" s="105"/>
      <c r="Q276" s="106"/>
      <c r="R276" s="105" t="str">
        <f>IFERROR(1-SUMIF('Grid BD'!$B:$B,$A276,'Grid BD'!$AE:$AE)/($AA276+SUMIF('Grid BD'!$B:$B,$A276,'Grid BD'!$AE:$AE)),"")</f>
        <v/>
      </c>
      <c r="T276" s="106"/>
      <c r="U276" s="107" t="str">
        <f t="shared" si="17"/>
        <v/>
      </c>
      <c r="V276" s="107"/>
      <c r="W276" s="108" t="str">
        <f t="shared" si="18"/>
        <v/>
      </c>
      <c r="X276" s="101" t="str">
        <f>IFERROR(_xlfn.XLOOKUP($A276,'Raw Data'!$G:$G,'Raw Data'!AI:AI),"")</f>
        <v/>
      </c>
      <c r="Y276" s="101" t="str">
        <f>IFERROR(_xlfn.XLOOKUP($A276,'Raw Data'!$G:$G,'Raw Data'!AJ:AJ),"")</f>
        <v/>
      </c>
      <c r="Z276" s="101" t="str">
        <f>IFERROR(_xlfn.XLOOKUP($A276,'Raw Data'!$G:$G,'Raw Data'!AK:AK),"")</f>
        <v/>
      </c>
      <c r="AA276" s="101" t="str">
        <f>IFERROR(_xlfn.XLOOKUP($A276,'Raw Data'!$G:$G,'Raw Data'!$AL:$AL)*(1+(_xlfn.XLOOKUP(Table13[[#This Row],[Month Year]],JMR!$A:$A,JMR!$J:$J))),"")</f>
        <v/>
      </c>
      <c r="AB276" s="101" t="str">
        <f>IFERROR(_xlfn.XLOOKUP($A276,'Raw Data'!$G:$G,'Raw Data'!H:H),"")</f>
        <v/>
      </c>
      <c r="AC276" s="67">
        <f>IFERROR(_xlfn.XLOOKUP($D276,'Modelling New'!$D:$D,'Modelling New'!P:P),"")</f>
        <v>5.2806451612903222</v>
      </c>
      <c r="AD276" s="101">
        <f>IFERROR(_xlfn.XLOOKUP($D276,'Modelling New'!$D:$D,'Modelling New'!$T:$T)*1000,"")</f>
        <v>31172.693339085006</v>
      </c>
      <c r="AE276" s="109">
        <f>IFERROR(_xlfn.XLOOKUP($D276,'Modelling New'!$D:$D,'Modelling New'!O:O),"")</f>
        <v>0.73597699552347362</v>
      </c>
      <c r="AF276" s="108">
        <f>IFERROR(_xlfn.XLOOKUP($D276,'Modelling New'!$D:$D,'Modelling New'!W:W),"")</f>
        <v>0.16193472334300082</v>
      </c>
      <c r="AG276" s="108">
        <f>IFERROR(_xlfn.XLOOKUP($D276,'Modelling New'!$D:$D,'Modelling New'!AE:AE),"")</f>
        <v>0.98040000000000005</v>
      </c>
      <c r="AH276" s="128">
        <f>IFERROR(_xlfn.XLOOKUP($D276,'Modelling New'!$D:$D,'Modelling New'!AF:AF),"")</f>
        <v>0.98</v>
      </c>
      <c r="AN276" s="105"/>
      <c r="AO276" s="108"/>
      <c r="AP276" s="108"/>
      <c r="AQ276" s="108"/>
      <c r="AR276" s="101">
        <f>'Basic Data'!$B$98/1000</f>
        <v>8.0208999999999993</v>
      </c>
      <c r="AT276" s="7" t="str">
        <f>IFERROR(_xlfn.XLOOKUP(Table13[[#This Row],[Date]],'Raw Data'!$G:$G,'Raw Data'!$AN:$AN),"")</f>
        <v/>
      </c>
      <c r="AU276" s="7">
        <f>IFERROR(_xlfn.XLOOKUP(Table13[[#This Row],[Month Year]],'Modelling New'!$D:$D,'Modelling New'!$AO:$AO),"")</f>
        <v>8</v>
      </c>
      <c r="AV276" s="7">
        <f>SUMIF('Curtailment Records'!$C:$C,Table13[[#This Row],[Date]],'Curtailment Records'!$R:$R)/1000</f>
        <v>0</v>
      </c>
    </row>
    <row r="277" spans="1:48" x14ac:dyDescent="0.3">
      <c r="A277" s="100">
        <f t="shared" si="19"/>
        <v>46020</v>
      </c>
      <c r="B277" s="101">
        <f>YEAR(Table13[[#This Row],[Date]])+IF(MONTH(Table13[[#This Row],[Date]])&gt;=4,1,0)</f>
        <v>2026</v>
      </c>
      <c r="C277" s="7">
        <f>YEAR(Table13[[#This Row],[Date]])</f>
        <v>2025</v>
      </c>
      <c r="D277" s="102">
        <f>Table13[[#This Row],[Date]]-DAY(Table13[[#This Row],[Date]])+1</f>
        <v>45992</v>
      </c>
      <c r="E277" s="7">
        <f t="shared" si="16"/>
        <v>31</v>
      </c>
      <c r="F277" s="103" t="str">
        <f>IFERROR(_xlfn.XLOOKUP($A277,'Raw Data'!$G:$G,'Raw Data'!$AM:$AM),"")</f>
        <v/>
      </c>
      <c r="G277" s="104" t="str">
        <f>IFERROR(_xlfn.XLOOKUP($A277,'Raw Data'!$G:$G,'Raw Data'!$AB:$AB),"")</f>
        <v/>
      </c>
      <c r="H277" s="104"/>
      <c r="I277" s="104" t="str">
        <f>IFERROR(_xlfn.XLOOKUP($A277,'Raw Data'!$G:$G,'Raw Data'!$AC:$AC),"")</f>
        <v/>
      </c>
      <c r="J277" s="104"/>
      <c r="K277" s="104" t="str">
        <f>IFERROR(_xlfn.XLOOKUP($A277,'Raw Data'!$G:$G,'Raw Data'!AD:AD),"")</f>
        <v/>
      </c>
      <c r="L277" s="104" t="str">
        <f>IFERROR(_xlfn.XLOOKUP($A277,'Raw Data'!$G:$G,'Raw Data'!AE:AE),"")</f>
        <v/>
      </c>
      <c r="M277" s="104" t="str">
        <f>IFERROR(_xlfn.XLOOKUP($A277,'Raw Data'!$G:$G,'Raw Data'!AF:AF),"")</f>
        <v/>
      </c>
      <c r="N277" s="104" t="str">
        <f>IFERROR(_xlfn.XLOOKUP($A277,'Raw Data'!$G:$G,'Raw Data'!AG:AG),"")</f>
        <v/>
      </c>
      <c r="O277" s="105" t="str">
        <f>IFERROR(1-SUMIF('Plant BD'!$B:$B,$A277,'Plant BD'!$AM:$AM)/($AA277+SUMIF('Plant BD'!$B:$B,$A277,'Plant BD'!$AM:$AM)),"")</f>
        <v/>
      </c>
      <c r="P277" s="105"/>
      <c r="Q277" s="106"/>
      <c r="R277" s="105" t="str">
        <f>IFERROR(1-SUMIF('Grid BD'!$B:$B,$A277,'Grid BD'!$AE:$AE)/($AA277+SUMIF('Grid BD'!$B:$B,$A277,'Grid BD'!$AE:$AE)),"")</f>
        <v/>
      </c>
      <c r="T277" s="106"/>
      <c r="U277" s="107" t="str">
        <f t="shared" si="17"/>
        <v/>
      </c>
      <c r="V277" s="107"/>
      <c r="W277" s="108" t="str">
        <f t="shared" si="18"/>
        <v/>
      </c>
      <c r="X277" s="101" t="str">
        <f>IFERROR(_xlfn.XLOOKUP($A277,'Raw Data'!$G:$G,'Raw Data'!AI:AI),"")</f>
        <v/>
      </c>
      <c r="Y277" s="101" t="str">
        <f>IFERROR(_xlfn.XLOOKUP($A277,'Raw Data'!$G:$G,'Raw Data'!AJ:AJ),"")</f>
        <v/>
      </c>
      <c r="Z277" s="101" t="str">
        <f>IFERROR(_xlfn.XLOOKUP($A277,'Raw Data'!$G:$G,'Raw Data'!AK:AK),"")</f>
        <v/>
      </c>
      <c r="AA277" s="101" t="str">
        <f>IFERROR(_xlfn.XLOOKUP($A277,'Raw Data'!$G:$G,'Raw Data'!$AL:$AL)*(1+(_xlfn.XLOOKUP(Table13[[#This Row],[Month Year]],JMR!$A:$A,JMR!$J:$J))),"")</f>
        <v/>
      </c>
      <c r="AB277" s="101" t="str">
        <f>IFERROR(_xlfn.XLOOKUP($A277,'Raw Data'!$G:$G,'Raw Data'!H:H),"")</f>
        <v/>
      </c>
      <c r="AC277" s="67">
        <f>IFERROR(_xlfn.XLOOKUP($D277,'Modelling New'!$D:$D,'Modelling New'!P:P),"")</f>
        <v>5.2806451612903222</v>
      </c>
      <c r="AD277" s="101">
        <f>IFERROR(_xlfn.XLOOKUP($D277,'Modelling New'!$D:$D,'Modelling New'!$T:$T)*1000,"")</f>
        <v>31172.693339085006</v>
      </c>
      <c r="AE277" s="109">
        <f>IFERROR(_xlfn.XLOOKUP($D277,'Modelling New'!$D:$D,'Modelling New'!O:O),"")</f>
        <v>0.73597699552347362</v>
      </c>
      <c r="AF277" s="108">
        <f>IFERROR(_xlfn.XLOOKUP($D277,'Modelling New'!$D:$D,'Modelling New'!W:W),"")</f>
        <v>0.16193472334300082</v>
      </c>
      <c r="AG277" s="108">
        <f>IFERROR(_xlfn.XLOOKUP($D277,'Modelling New'!$D:$D,'Modelling New'!AE:AE),"")</f>
        <v>0.98040000000000005</v>
      </c>
      <c r="AH277" s="128">
        <f>IFERROR(_xlfn.XLOOKUP($D277,'Modelling New'!$D:$D,'Modelling New'!AF:AF),"")</f>
        <v>0.98</v>
      </c>
      <c r="AN277" s="105"/>
      <c r="AO277" s="108"/>
      <c r="AP277" s="108"/>
      <c r="AQ277" s="108"/>
      <c r="AR277" s="101">
        <f>'Basic Data'!$B$98/1000</f>
        <v>8.0208999999999993</v>
      </c>
      <c r="AT277" s="7" t="str">
        <f>IFERROR(_xlfn.XLOOKUP(Table13[[#This Row],[Date]],'Raw Data'!$G:$G,'Raw Data'!$AN:$AN),"")</f>
        <v/>
      </c>
      <c r="AU277" s="7">
        <f>IFERROR(_xlfn.XLOOKUP(Table13[[#This Row],[Month Year]],'Modelling New'!$D:$D,'Modelling New'!$AO:$AO),"")</f>
        <v>8</v>
      </c>
      <c r="AV277" s="7">
        <f>SUMIF('Curtailment Records'!$C:$C,Table13[[#This Row],[Date]],'Curtailment Records'!$R:$R)/1000</f>
        <v>0</v>
      </c>
    </row>
    <row r="278" spans="1:48" x14ac:dyDescent="0.3">
      <c r="A278" s="100">
        <f t="shared" si="19"/>
        <v>46021</v>
      </c>
      <c r="B278" s="101">
        <f>YEAR(Table13[[#This Row],[Date]])+IF(MONTH(Table13[[#This Row],[Date]])&gt;=4,1,0)</f>
        <v>2026</v>
      </c>
      <c r="C278" s="7">
        <f>YEAR(Table13[[#This Row],[Date]])</f>
        <v>2025</v>
      </c>
      <c r="D278" s="102">
        <f>Table13[[#This Row],[Date]]-DAY(Table13[[#This Row],[Date]])+1</f>
        <v>45992</v>
      </c>
      <c r="E278" s="7">
        <f t="shared" si="16"/>
        <v>31</v>
      </c>
      <c r="F278" s="103" t="str">
        <f>IFERROR(_xlfn.XLOOKUP($A278,'Raw Data'!$G:$G,'Raw Data'!$AM:$AM),"")</f>
        <v/>
      </c>
      <c r="G278" s="104" t="str">
        <f>IFERROR(_xlfn.XLOOKUP($A278,'Raw Data'!$G:$G,'Raw Data'!$AB:$AB),"")</f>
        <v/>
      </c>
      <c r="H278" s="104"/>
      <c r="I278" s="104" t="str">
        <f>IFERROR(_xlfn.XLOOKUP($A278,'Raw Data'!$G:$G,'Raw Data'!$AC:$AC),"")</f>
        <v/>
      </c>
      <c r="J278" s="104"/>
      <c r="K278" s="104" t="str">
        <f>IFERROR(_xlfn.XLOOKUP($A278,'Raw Data'!$G:$G,'Raw Data'!AD:AD),"")</f>
        <v/>
      </c>
      <c r="L278" s="104" t="str">
        <f>IFERROR(_xlfn.XLOOKUP($A278,'Raw Data'!$G:$G,'Raw Data'!AE:AE),"")</f>
        <v/>
      </c>
      <c r="M278" s="104" t="str">
        <f>IFERROR(_xlfn.XLOOKUP($A278,'Raw Data'!$G:$G,'Raw Data'!AF:AF),"")</f>
        <v/>
      </c>
      <c r="N278" s="104" t="str">
        <f>IFERROR(_xlfn.XLOOKUP($A278,'Raw Data'!$G:$G,'Raw Data'!AG:AG),"")</f>
        <v/>
      </c>
      <c r="O278" s="105" t="str">
        <f>IFERROR(1-SUMIF('Plant BD'!$B:$B,$A278,'Plant BD'!$AM:$AM)/($AA278+SUMIF('Plant BD'!$B:$B,$A278,'Plant BD'!$AM:$AM)),"")</f>
        <v/>
      </c>
      <c r="P278" s="105"/>
      <c r="Q278" s="106"/>
      <c r="R278" s="105" t="str">
        <f>IFERROR(1-SUMIF('Grid BD'!$B:$B,$A278,'Grid BD'!$AE:$AE)/($AA278+SUMIF('Grid BD'!$B:$B,$A278,'Grid BD'!$AE:$AE)),"")</f>
        <v/>
      </c>
      <c r="T278" s="106"/>
      <c r="U278" s="107" t="str">
        <f t="shared" si="17"/>
        <v/>
      </c>
      <c r="V278" s="107"/>
      <c r="W278" s="108" t="str">
        <f t="shared" si="18"/>
        <v/>
      </c>
      <c r="X278" s="101" t="str">
        <f>IFERROR(_xlfn.XLOOKUP($A278,'Raw Data'!$G:$G,'Raw Data'!AI:AI),"")</f>
        <v/>
      </c>
      <c r="Y278" s="101" t="str">
        <f>IFERROR(_xlfn.XLOOKUP($A278,'Raw Data'!$G:$G,'Raw Data'!AJ:AJ),"")</f>
        <v/>
      </c>
      <c r="Z278" s="101" t="str">
        <f>IFERROR(_xlfn.XLOOKUP($A278,'Raw Data'!$G:$G,'Raw Data'!AK:AK),"")</f>
        <v/>
      </c>
      <c r="AA278" s="101" t="str">
        <f>IFERROR(_xlfn.XLOOKUP($A278,'Raw Data'!$G:$G,'Raw Data'!$AL:$AL)*(1+(_xlfn.XLOOKUP(Table13[[#This Row],[Month Year]],JMR!$A:$A,JMR!$J:$J))),"")</f>
        <v/>
      </c>
      <c r="AB278" s="101" t="str">
        <f>IFERROR(_xlfn.XLOOKUP($A278,'Raw Data'!$G:$G,'Raw Data'!H:H),"")</f>
        <v/>
      </c>
      <c r="AC278" s="67">
        <f>IFERROR(_xlfn.XLOOKUP($D278,'Modelling New'!$D:$D,'Modelling New'!P:P),"")</f>
        <v>5.2806451612903222</v>
      </c>
      <c r="AD278" s="101">
        <f>IFERROR(_xlfn.XLOOKUP($D278,'Modelling New'!$D:$D,'Modelling New'!$T:$T)*1000,"")</f>
        <v>31172.693339085006</v>
      </c>
      <c r="AE278" s="109">
        <f>IFERROR(_xlfn.XLOOKUP($D278,'Modelling New'!$D:$D,'Modelling New'!O:O),"")</f>
        <v>0.73597699552347362</v>
      </c>
      <c r="AF278" s="108">
        <f>IFERROR(_xlfn.XLOOKUP($D278,'Modelling New'!$D:$D,'Modelling New'!W:W),"")</f>
        <v>0.16193472334300082</v>
      </c>
      <c r="AG278" s="108">
        <f>IFERROR(_xlfn.XLOOKUP($D278,'Modelling New'!$D:$D,'Modelling New'!AE:AE),"")</f>
        <v>0.98040000000000005</v>
      </c>
      <c r="AH278" s="128">
        <f>IFERROR(_xlfn.XLOOKUP($D278,'Modelling New'!$D:$D,'Modelling New'!AF:AF),"")</f>
        <v>0.98</v>
      </c>
      <c r="AN278" s="105"/>
      <c r="AO278" s="108"/>
      <c r="AP278" s="108"/>
      <c r="AQ278" s="108"/>
      <c r="AR278" s="101">
        <f>'Basic Data'!$B$98/1000</f>
        <v>8.0208999999999993</v>
      </c>
      <c r="AT278" s="7" t="str">
        <f>IFERROR(_xlfn.XLOOKUP(Table13[[#This Row],[Date]],'Raw Data'!$G:$G,'Raw Data'!$AN:$AN),"")</f>
        <v/>
      </c>
      <c r="AU278" s="7">
        <f>IFERROR(_xlfn.XLOOKUP(Table13[[#This Row],[Month Year]],'Modelling New'!$D:$D,'Modelling New'!$AO:$AO),"")</f>
        <v>8</v>
      </c>
      <c r="AV278" s="7">
        <f>SUMIF('Curtailment Records'!$C:$C,Table13[[#This Row],[Date]],'Curtailment Records'!$R:$R)/1000</f>
        <v>0</v>
      </c>
    </row>
    <row r="279" spans="1:48" x14ac:dyDescent="0.3">
      <c r="A279" s="100">
        <f t="shared" si="19"/>
        <v>46022</v>
      </c>
      <c r="B279" s="101">
        <f>YEAR(Table13[[#This Row],[Date]])+IF(MONTH(Table13[[#This Row],[Date]])&gt;=4,1,0)</f>
        <v>2026</v>
      </c>
      <c r="C279" s="7">
        <f>YEAR(Table13[[#This Row],[Date]])</f>
        <v>2025</v>
      </c>
      <c r="D279" s="102">
        <f>Table13[[#This Row],[Date]]-DAY(Table13[[#This Row],[Date]])+1</f>
        <v>45992</v>
      </c>
      <c r="E279" s="7">
        <f t="shared" si="16"/>
        <v>31</v>
      </c>
      <c r="F279" s="103" t="str">
        <f>IFERROR(_xlfn.XLOOKUP($A279,'Raw Data'!$G:$G,'Raw Data'!$AM:$AM),"")</f>
        <v/>
      </c>
      <c r="G279" s="104" t="str">
        <f>IFERROR(_xlfn.XLOOKUP($A279,'Raw Data'!$G:$G,'Raw Data'!$AB:$AB),"")</f>
        <v/>
      </c>
      <c r="H279" s="104"/>
      <c r="I279" s="104" t="str">
        <f>IFERROR(_xlfn.XLOOKUP($A279,'Raw Data'!$G:$G,'Raw Data'!$AC:$AC),"")</f>
        <v/>
      </c>
      <c r="J279" s="104"/>
      <c r="K279" s="104" t="str">
        <f>IFERROR(_xlfn.XLOOKUP($A279,'Raw Data'!$G:$G,'Raw Data'!AD:AD),"")</f>
        <v/>
      </c>
      <c r="L279" s="104" t="str">
        <f>IFERROR(_xlfn.XLOOKUP($A279,'Raw Data'!$G:$G,'Raw Data'!AE:AE),"")</f>
        <v/>
      </c>
      <c r="M279" s="104" t="str">
        <f>IFERROR(_xlfn.XLOOKUP($A279,'Raw Data'!$G:$G,'Raw Data'!AF:AF),"")</f>
        <v/>
      </c>
      <c r="N279" s="104" t="str">
        <f>IFERROR(_xlfn.XLOOKUP($A279,'Raw Data'!$G:$G,'Raw Data'!AG:AG),"")</f>
        <v/>
      </c>
      <c r="O279" s="105" t="str">
        <f>IFERROR(1-SUMIF('Plant BD'!$B:$B,$A279,'Plant BD'!$AM:$AM)/($AA279+SUMIF('Plant BD'!$B:$B,$A279,'Plant BD'!$AM:$AM)),"")</f>
        <v/>
      </c>
      <c r="P279" s="105"/>
      <c r="Q279" s="106"/>
      <c r="R279" s="105" t="str">
        <f>IFERROR(1-SUMIF('Grid BD'!$B:$B,$A279,'Grid BD'!$AE:$AE)/($AA279+SUMIF('Grid BD'!$B:$B,$A279,'Grid BD'!$AE:$AE)),"")</f>
        <v/>
      </c>
      <c r="T279" s="106"/>
      <c r="U279" s="107" t="str">
        <f t="shared" si="17"/>
        <v/>
      </c>
      <c r="V279" s="107"/>
      <c r="W279" s="108" t="str">
        <f t="shared" si="18"/>
        <v/>
      </c>
      <c r="X279" s="101" t="str">
        <f>IFERROR(_xlfn.XLOOKUP($A279,'Raw Data'!$G:$G,'Raw Data'!AI:AI),"")</f>
        <v/>
      </c>
      <c r="Y279" s="101" t="str">
        <f>IFERROR(_xlfn.XLOOKUP($A279,'Raw Data'!$G:$G,'Raw Data'!AJ:AJ),"")</f>
        <v/>
      </c>
      <c r="Z279" s="101" t="str">
        <f>IFERROR(_xlfn.XLOOKUP($A279,'Raw Data'!$G:$G,'Raw Data'!AK:AK),"")</f>
        <v/>
      </c>
      <c r="AA279" s="101" t="str">
        <f>IFERROR(_xlfn.XLOOKUP($A279,'Raw Data'!$G:$G,'Raw Data'!$AL:$AL)*(1+(_xlfn.XLOOKUP(Table13[[#This Row],[Month Year]],JMR!$A:$A,JMR!$J:$J))),"")</f>
        <v/>
      </c>
      <c r="AB279" s="101" t="str">
        <f>IFERROR(_xlfn.XLOOKUP($A279,'Raw Data'!$G:$G,'Raw Data'!H:H),"")</f>
        <v/>
      </c>
      <c r="AC279" s="67">
        <f>IFERROR(_xlfn.XLOOKUP($D279,'Modelling New'!$D:$D,'Modelling New'!P:P),"")</f>
        <v>5.2806451612903222</v>
      </c>
      <c r="AD279" s="101">
        <f>IFERROR(_xlfn.XLOOKUP($D279,'Modelling New'!$D:$D,'Modelling New'!$T:$T)*1000,"")</f>
        <v>31172.693339085006</v>
      </c>
      <c r="AE279" s="109">
        <f>IFERROR(_xlfn.XLOOKUP($D279,'Modelling New'!$D:$D,'Modelling New'!O:O),"")</f>
        <v>0.73597699552347362</v>
      </c>
      <c r="AF279" s="108">
        <f>IFERROR(_xlfn.XLOOKUP($D279,'Modelling New'!$D:$D,'Modelling New'!W:W),"")</f>
        <v>0.16193472334300082</v>
      </c>
      <c r="AG279" s="108">
        <f>IFERROR(_xlfn.XLOOKUP($D279,'Modelling New'!$D:$D,'Modelling New'!AE:AE),"")</f>
        <v>0.98040000000000005</v>
      </c>
      <c r="AH279" s="128">
        <f>IFERROR(_xlfn.XLOOKUP($D279,'Modelling New'!$D:$D,'Modelling New'!AF:AF),"")</f>
        <v>0.98</v>
      </c>
      <c r="AN279" s="105"/>
      <c r="AO279" s="108"/>
      <c r="AP279" s="108"/>
      <c r="AQ279" s="108"/>
      <c r="AR279" s="101">
        <f>'Basic Data'!$B$98/1000</f>
        <v>8.0208999999999993</v>
      </c>
      <c r="AT279" s="7" t="str">
        <f>IFERROR(_xlfn.XLOOKUP(Table13[[#This Row],[Date]],'Raw Data'!$G:$G,'Raw Data'!$AN:$AN),"")</f>
        <v/>
      </c>
      <c r="AU279" s="7">
        <f>IFERROR(_xlfn.XLOOKUP(Table13[[#This Row],[Month Year]],'Modelling New'!$D:$D,'Modelling New'!$AO:$AO),"")</f>
        <v>8</v>
      </c>
      <c r="AV279" s="7">
        <f>SUMIF('Curtailment Records'!$C:$C,Table13[[#This Row],[Date]],'Curtailment Records'!$R:$R)/1000</f>
        <v>0</v>
      </c>
    </row>
    <row r="280" spans="1:48" x14ac:dyDescent="0.3">
      <c r="A280" s="100">
        <f t="shared" si="19"/>
        <v>46023</v>
      </c>
      <c r="B280" s="101">
        <f>YEAR(Table13[[#This Row],[Date]])+IF(MONTH(Table13[[#This Row],[Date]])&gt;=4,1,0)</f>
        <v>2026</v>
      </c>
      <c r="C280" s="7">
        <f>YEAR(Table13[[#This Row],[Date]])</f>
        <v>2026</v>
      </c>
      <c r="D280" s="102">
        <f>Table13[[#This Row],[Date]]-DAY(Table13[[#This Row],[Date]])+1</f>
        <v>46023</v>
      </c>
      <c r="E280" s="7">
        <f t="shared" si="16"/>
        <v>31</v>
      </c>
      <c r="F280" s="103" t="str">
        <f>IFERROR(_xlfn.XLOOKUP($A280,'Raw Data'!$G:$G,'Raw Data'!$AM:$AM),"")</f>
        <v/>
      </c>
      <c r="G280" s="104" t="str">
        <f>IFERROR(_xlfn.XLOOKUP($A280,'Raw Data'!$G:$G,'Raw Data'!$AB:$AB),"")</f>
        <v/>
      </c>
      <c r="H280" s="104"/>
      <c r="I280" s="104" t="str">
        <f>IFERROR(_xlfn.XLOOKUP($A280,'Raw Data'!$G:$G,'Raw Data'!$AC:$AC),"")</f>
        <v/>
      </c>
      <c r="J280" s="104"/>
      <c r="K280" s="104" t="str">
        <f>IFERROR(_xlfn.XLOOKUP($A280,'Raw Data'!$G:$G,'Raw Data'!AD:AD),"")</f>
        <v/>
      </c>
      <c r="L280" s="104" t="str">
        <f>IFERROR(_xlfn.XLOOKUP($A280,'Raw Data'!$G:$G,'Raw Data'!AE:AE),"")</f>
        <v/>
      </c>
      <c r="M280" s="104" t="str">
        <f>IFERROR(_xlfn.XLOOKUP($A280,'Raw Data'!$G:$G,'Raw Data'!AF:AF),"")</f>
        <v/>
      </c>
      <c r="N280" s="104" t="str">
        <f>IFERROR(_xlfn.XLOOKUP($A280,'Raw Data'!$G:$G,'Raw Data'!AG:AG),"")</f>
        <v/>
      </c>
      <c r="O280" s="105" t="str">
        <f>IFERROR(1-SUMIF('Plant BD'!$B:$B,$A280,'Plant BD'!$AM:$AM)/($AA280+SUMIF('Plant BD'!$B:$B,$A280,'Plant BD'!$AM:$AM)),"")</f>
        <v/>
      </c>
      <c r="P280" s="105"/>
      <c r="Q280" s="106"/>
      <c r="R280" s="105" t="str">
        <f>IFERROR(1-SUMIF('Grid BD'!$B:$B,$A280,'Grid BD'!$AE:$AE)/($AA280+SUMIF('Grid BD'!$B:$B,$A280,'Grid BD'!$AE:$AE)),"")</f>
        <v/>
      </c>
      <c r="T280" s="106"/>
      <c r="U280" s="107" t="str">
        <f t="shared" si="17"/>
        <v/>
      </c>
      <c r="V280" s="107"/>
      <c r="W280" s="108" t="str">
        <f t="shared" si="18"/>
        <v/>
      </c>
      <c r="X280" s="101" t="str">
        <f>IFERROR(_xlfn.XLOOKUP($A280,'Raw Data'!$G:$G,'Raw Data'!AI:AI),"")</f>
        <v/>
      </c>
      <c r="Y280" s="101" t="str">
        <f>IFERROR(_xlfn.XLOOKUP($A280,'Raw Data'!$G:$G,'Raw Data'!AJ:AJ),"")</f>
        <v/>
      </c>
      <c r="Z280" s="101" t="str">
        <f>IFERROR(_xlfn.XLOOKUP($A280,'Raw Data'!$G:$G,'Raw Data'!AK:AK),"")</f>
        <v/>
      </c>
      <c r="AA280" s="101" t="str">
        <f>IFERROR(_xlfn.XLOOKUP($A280,'Raw Data'!$G:$G,'Raw Data'!$AL:$AL)*(1+(_xlfn.XLOOKUP(Table13[[#This Row],[Month Year]],JMR!$A:$A,JMR!$J:$J))),"")</f>
        <v/>
      </c>
      <c r="AB280" s="101" t="str">
        <f>IFERROR(_xlfn.XLOOKUP($A280,'Raw Data'!$G:$G,'Raw Data'!H:H),"")</f>
        <v/>
      </c>
      <c r="AC280" s="67">
        <f>IFERROR(_xlfn.XLOOKUP($D280,'Modelling New'!$D:$D,'Modelling New'!P:P),"")</f>
        <v>5.9322580645161294</v>
      </c>
      <c r="AD280" s="101">
        <f>IFERROR(_xlfn.XLOOKUP($D280,'Modelling New'!$D:$D,'Modelling New'!$T:$T)*1000,"")</f>
        <v>34475.662965312498</v>
      </c>
      <c r="AE280" s="109">
        <f>IFERROR(_xlfn.XLOOKUP($D280,'Modelling New'!$D:$D,'Modelling New'!O:O),"")</f>
        <v>0.72455188248968172</v>
      </c>
      <c r="AF280" s="108">
        <f>IFERROR(_xlfn.XLOOKUP($D280,'Modelling New'!$D:$D,'Modelling New'!W:W),"")</f>
        <v>0.17909286450248987</v>
      </c>
      <c r="AG280" s="108">
        <f>IFERROR(_xlfn.XLOOKUP($D280,'Modelling New'!$D:$D,'Modelling New'!AE:AE),"")</f>
        <v>0.98040000000000005</v>
      </c>
      <c r="AH280" s="128">
        <f>IFERROR(_xlfn.XLOOKUP($D280,'Modelling New'!$D:$D,'Modelling New'!AF:AF),"")</f>
        <v>0.98</v>
      </c>
      <c r="AN280" s="105"/>
      <c r="AO280" s="108"/>
      <c r="AP280" s="108"/>
      <c r="AQ280" s="108"/>
      <c r="AR280" s="101">
        <f>'Basic Data'!$B$98/1000</f>
        <v>8.0208999999999993</v>
      </c>
      <c r="AT280" s="7" t="str">
        <f>IFERROR(_xlfn.XLOOKUP(Table13[[#This Row],[Date]],'Raw Data'!$G:$G,'Raw Data'!$AN:$AN),"")</f>
        <v/>
      </c>
      <c r="AU280" s="7">
        <f>IFERROR(_xlfn.XLOOKUP(Table13[[#This Row],[Month Year]],'Modelling New'!$D:$D,'Modelling New'!$AO:$AO),"")</f>
        <v>8</v>
      </c>
      <c r="AV280" s="7">
        <f>SUMIF('Curtailment Records'!$C:$C,Table13[[#This Row],[Date]],'Curtailment Records'!$R:$R)/1000</f>
        <v>0</v>
      </c>
    </row>
    <row r="281" spans="1:48" x14ac:dyDescent="0.3">
      <c r="A281" s="100">
        <f t="shared" si="19"/>
        <v>46024</v>
      </c>
      <c r="B281" s="101">
        <f>YEAR(Table13[[#This Row],[Date]])+IF(MONTH(Table13[[#This Row],[Date]])&gt;=4,1,0)</f>
        <v>2026</v>
      </c>
      <c r="C281" s="7">
        <f>YEAR(Table13[[#This Row],[Date]])</f>
        <v>2026</v>
      </c>
      <c r="D281" s="102">
        <f>Table13[[#This Row],[Date]]-DAY(Table13[[#This Row],[Date]])+1</f>
        <v>46023</v>
      </c>
      <c r="E281" s="7">
        <f t="shared" si="16"/>
        <v>31</v>
      </c>
      <c r="F281" s="103" t="str">
        <f>IFERROR(_xlfn.XLOOKUP($A281,'Raw Data'!$G:$G,'Raw Data'!$AM:$AM),"")</f>
        <v/>
      </c>
      <c r="G281" s="104" t="str">
        <f>IFERROR(_xlfn.XLOOKUP($A281,'Raw Data'!$G:$G,'Raw Data'!$AB:$AB),"")</f>
        <v/>
      </c>
      <c r="H281" s="104"/>
      <c r="I281" s="104" t="str">
        <f>IFERROR(_xlfn.XLOOKUP($A281,'Raw Data'!$G:$G,'Raw Data'!$AC:$AC),"")</f>
        <v/>
      </c>
      <c r="J281" s="104"/>
      <c r="K281" s="104" t="str">
        <f>IFERROR(_xlfn.XLOOKUP($A281,'Raw Data'!$G:$G,'Raw Data'!AD:AD),"")</f>
        <v/>
      </c>
      <c r="L281" s="104" t="str">
        <f>IFERROR(_xlfn.XLOOKUP($A281,'Raw Data'!$G:$G,'Raw Data'!AE:AE),"")</f>
        <v/>
      </c>
      <c r="M281" s="104" t="str">
        <f>IFERROR(_xlfn.XLOOKUP($A281,'Raw Data'!$G:$G,'Raw Data'!AF:AF),"")</f>
        <v/>
      </c>
      <c r="N281" s="104" t="str">
        <f>IFERROR(_xlfn.XLOOKUP($A281,'Raw Data'!$G:$G,'Raw Data'!AG:AG),"")</f>
        <v/>
      </c>
      <c r="O281" s="105" t="str">
        <f>IFERROR(1-SUMIF('Plant BD'!$B:$B,$A281,'Plant BD'!$AM:$AM)/($AA281+SUMIF('Plant BD'!$B:$B,$A281,'Plant BD'!$AM:$AM)),"")</f>
        <v/>
      </c>
      <c r="P281" s="105"/>
      <c r="Q281" s="106"/>
      <c r="R281" s="105" t="str">
        <f>IFERROR(1-SUMIF('Grid BD'!$B:$B,$A281,'Grid BD'!$AE:$AE)/($AA281+SUMIF('Grid BD'!$B:$B,$A281,'Grid BD'!$AE:$AE)),"")</f>
        <v/>
      </c>
      <c r="T281" s="106"/>
      <c r="U281" s="107" t="str">
        <f t="shared" si="17"/>
        <v/>
      </c>
      <c r="V281" s="107"/>
      <c r="W281" s="108" t="str">
        <f t="shared" si="18"/>
        <v/>
      </c>
      <c r="X281" s="101" t="str">
        <f>IFERROR(_xlfn.XLOOKUP($A281,'Raw Data'!$G:$G,'Raw Data'!AI:AI),"")</f>
        <v/>
      </c>
      <c r="Y281" s="101" t="str">
        <f>IFERROR(_xlfn.XLOOKUP($A281,'Raw Data'!$G:$G,'Raw Data'!AJ:AJ),"")</f>
        <v/>
      </c>
      <c r="Z281" s="101" t="str">
        <f>IFERROR(_xlfn.XLOOKUP($A281,'Raw Data'!$G:$G,'Raw Data'!AK:AK),"")</f>
        <v/>
      </c>
      <c r="AA281" s="101" t="str">
        <f>IFERROR(_xlfn.XLOOKUP($A281,'Raw Data'!$G:$G,'Raw Data'!$AL:$AL)*(1+(_xlfn.XLOOKUP(Table13[[#This Row],[Month Year]],JMR!$A:$A,JMR!$J:$J))),"")</f>
        <v/>
      </c>
      <c r="AB281" s="101" t="str">
        <f>IFERROR(_xlfn.XLOOKUP($A281,'Raw Data'!$G:$G,'Raw Data'!H:H),"")</f>
        <v/>
      </c>
      <c r="AC281" s="67">
        <f>IFERROR(_xlfn.XLOOKUP($D281,'Modelling New'!$D:$D,'Modelling New'!P:P),"")</f>
        <v>5.9322580645161294</v>
      </c>
      <c r="AD281" s="101">
        <f>IFERROR(_xlfn.XLOOKUP($D281,'Modelling New'!$D:$D,'Modelling New'!$T:$T)*1000,"")</f>
        <v>34475.662965312498</v>
      </c>
      <c r="AE281" s="109">
        <f>IFERROR(_xlfn.XLOOKUP($D281,'Modelling New'!$D:$D,'Modelling New'!O:O),"")</f>
        <v>0.72455188248968172</v>
      </c>
      <c r="AF281" s="108">
        <f>IFERROR(_xlfn.XLOOKUP($D281,'Modelling New'!$D:$D,'Modelling New'!W:W),"")</f>
        <v>0.17909286450248987</v>
      </c>
      <c r="AG281" s="108">
        <f>IFERROR(_xlfn.XLOOKUP($D281,'Modelling New'!$D:$D,'Modelling New'!AE:AE),"")</f>
        <v>0.98040000000000005</v>
      </c>
      <c r="AH281" s="128">
        <f>IFERROR(_xlfn.XLOOKUP($D281,'Modelling New'!$D:$D,'Modelling New'!AF:AF),"")</f>
        <v>0.98</v>
      </c>
      <c r="AN281" s="105"/>
      <c r="AO281" s="108"/>
      <c r="AP281" s="108"/>
      <c r="AQ281" s="108"/>
      <c r="AR281" s="101">
        <f>'Basic Data'!$B$98/1000</f>
        <v>8.0208999999999993</v>
      </c>
      <c r="AT281" s="7" t="str">
        <f>IFERROR(_xlfn.XLOOKUP(Table13[[#This Row],[Date]],'Raw Data'!$G:$G,'Raw Data'!$AN:$AN),"")</f>
        <v/>
      </c>
      <c r="AU281" s="7">
        <f>IFERROR(_xlfn.XLOOKUP(Table13[[#This Row],[Month Year]],'Modelling New'!$D:$D,'Modelling New'!$AO:$AO),"")</f>
        <v>8</v>
      </c>
      <c r="AV281" s="7">
        <f>SUMIF('Curtailment Records'!$C:$C,Table13[[#This Row],[Date]],'Curtailment Records'!$R:$R)/1000</f>
        <v>0</v>
      </c>
    </row>
    <row r="282" spans="1:48" x14ac:dyDescent="0.3">
      <c r="A282" s="100">
        <f t="shared" si="19"/>
        <v>46025</v>
      </c>
      <c r="B282" s="101">
        <f>YEAR(Table13[[#This Row],[Date]])+IF(MONTH(Table13[[#This Row],[Date]])&gt;=4,1,0)</f>
        <v>2026</v>
      </c>
      <c r="C282" s="7">
        <f>YEAR(Table13[[#This Row],[Date]])</f>
        <v>2026</v>
      </c>
      <c r="D282" s="102">
        <f>Table13[[#This Row],[Date]]-DAY(Table13[[#This Row],[Date]])+1</f>
        <v>46023</v>
      </c>
      <c r="E282" s="7">
        <f t="shared" si="16"/>
        <v>31</v>
      </c>
      <c r="F282" s="103" t="str">
        <f>IFERROR(_xlfn.XLOOKUP($A282,'Raw Data'!$G:$G,'Raw Data'!$AM:$AM),"")</f>
        <v/>
      </c>
      <c r="G282" s="104" t="str">
        <f>IFERROR(_xlfn.XLOOKUP($A282,'Raw Data'!$G:$G,'Raw Data'!$AB:$AB),"")</f>
        <v/>
      </c>
      <c r="H282" s="104"/>
      <c r="I282" s="104" t="str">
        <f>IFERROR(_xlfn.XLOOKUP($A282,'Raw Data'!$G:$G,'Raw Data'!$AC:$AC),"")</f>
        <v/>
      </c>
      <c r="J282" s="104"/>
      <c r="K282" s="104" t="str">
        <f>IFERROR(_xlfn.XLOOKUP($A282,'Raw Data'!$G:$G,'Raw Data'!AD:AD),"")</f>
        <v/>
      </c>
      <c r="L282" s="104" t="str">
        <f>IFERROR(_xlfn.XLOOKUP($A282,'Raw Data'!$G:$G,'Raw Data'!AE:AE),"")</f>
        <v/>
      </c>
      <c r="M282" s="104" t="str">
        <f>IFERROR(_xlfn.XLOOKUP($A282,'Raw Data'!$G:$G,'Raw Data'!AF:AF),"")</f>
        <v/>
      </c>
      <c r="N282" s="104" t="str">
        <f>IFERROR(_xlfn.XLOOKUP($A282,'Raw Data'!$G:$G,'Raw Data'!AG:AG),"")</f>
        <v/>
      </c>
      <c r="O282" s="105" t="str">
        <f>IFERROR(1-SUMIF('Plant BD'!$B:$B,$A282,'Plant BD'!$AM:$AM)/($AA282+SUMIF('Plant BD'!$B:$B,$A282,'Plant BD'!$AM:$AM)),"")</f>
        <v/>
      </c>
      <c r="P282" s="105"/>
      <c r="Q282" s="106"/>
      <c r="R282" s="105" t="str">
        <f>IFERROR(1-SUMIF('Grid BD'!$B:$B,$A282,'Grid BD'!$AE:$AE)/($AA282+SUMIF('Grid BD'!$B:$B,$A282,'Grid BD'!$AE:$AE)),"")</f>
        <v/>
      </c>
      <c r="T282" s="106"/>
      <c r="U282" s="107" t="str">
        <f t="shared" si="17"/>
        <v/>
      </c>
      <c r="V282" s="107"/>
      <c r="W282" s="108" t="str">
        <f t="shared" si="18"/>
        <v/>
      </c>
      <c r="X282" s="101" t="str">
        <f>IFERROR(_xlfn.XLOOKUP($A282,'Raw Data'!$G:$G,'Raw Data'!AI:AI),"")</f>
        <v/>
      </c>
      <c r="Y282" s="101" t="str">
        <f>IFERROR(_xlfn.XLOOKUP($A282,'Raw Data'!$G:$G,'Raw Data'!AJ:AJ),"")</f>
        <v/>
      </c>
      <c r="Z282" s="101" t="str">
        <f>IFERROR(_xlfn.XLOOKUP($A282,'Raw Data'!$G:$G,'Raw Data'!AK:AK),"")</f>
        <v/>
      </c>
      <c r="AA282" s="101" t="str">
        <f>IFERROR(_xlfn.XLOOKUP($A282,'Raw Data'!$G:$G,'Raw Data'!$AL:$AL)*(1+(_xlfn.XLOOKUP(Table13[[#This Row],[Month Year]],JMR!$A:$A,JMR!$J:$J))),"")</f>
        <v/>
      </c>
      <c r="AB282" s="101" t="str">
        <f>IFERROR(_xlfn.XLOOKUP($A282,'Raw Data'!$G:$G,'Raw Data'!H:H),"")</f>
        <v/>
      </c>
      <c r="AC282" s="67">
        <f>IFERROR(_xlfn.XLOOKUP($D282,'Modelling New'!$D:$D,'Modelling New'!P:P),"")</f>
        <v>5.9322580645161294</v>
      </c>
      <c r="AD282" s="101">
        <f>IFERROR(_xlfn.XLOOKUP($D282,'Modelling New'!$D:$D,'Modelling New'!$T:$T)*1000,"")</f>
        <v>34475.662965312498</v>
      </c>
      <c r="AE282" s="109">
        <f>IFERROR(_xlfn.XLOOKUP($D282,'Modelling New'!$D:$D,'Modelling New'!O:O),"")</f>
        <v>0.72455188248968172</v>
      </c>
      <c r="AF282" s="108">
        <f>IFERROR(_xlfn.XLOOKUP($D282,'Modelling New'!$D:$D,'Modelling New'!W:W),"")</f>
        <v>0.17909286450248987</v>
      </c>
      <c r="AG282" s="108">
        <f>IFERROR(_xlfn.XLOOKUP($D282,'Modelling New'!$D:$D,'Modelling New'!AE:AE),"")</f>
        <v>0.98040000000000005</v>
      </c>
      <c r="AH282" s="128">
        <f>IFERROR(_xlfn.XLOOKUP($D282,'Modelling New'!$D:$D,'Modelling New'!AF:AF),"")</f>
        <v>0.98</v>
      </c>
      <c r="AN282" s="105"/>
      <c r="AO282" s="108"/>
      <c r="AP282" s="108"/>
      <c r="AQ282" s="108"/>
      <c r="AR282" s="101">
        <f>'Basic Data'!$B$98/1000</f>
        <v>8.0208999999999993</v>
      </c>
      <c r="AT282" s="7" t="str">
        <f>IFERROR(_xlfn.XLOOKUP(Table13[[#This Row],[Date]],'Raw Data'!$G:$G,'Raw Data'!$AN:$AN),"")</f>
        <v/>
      </c>
      <c r="AU282" s="7">
        <f>IFERROR(_xlfn.XLOOKUP(Table13[[#This Row],[Month Year]],'Modelling New'!$D:$D,'Modelling New'!$AO:$AO),"")</f>
        <v>8</v>
      </c>
      <c r="AV282" s="7">
        <f>SUMIF('Curtailment Records'!$C:$C,Table13[[#This Row],[Date]],'Curtailment Records'!$R:$R)/1000</f>
        <v>0</v>
      </c>
    </row>
    <row r="283" spans="1:48" x14ac:dyDescent="0.3">
      <c r="A283" s="100">
        <f t="shared" si="19"/>
        <v>46026</v>
      </c>
      <c r="B283" s="101">
        <f>YEAR(Table13[[#This Row],[Date]])+IF(MONTH(Table13[[#This Row],[Date]])&gt;=4,1,0)</f>
        <v>2026</v>
      </c>
      <c r="C283" s="7">
        <f>YEAR(Table13[[#This Row],[Date]])</f>
        <v>2026</v>
      </c>
      <c r="D283" s="102">
        <f>Table13[[#This Row],[Date]]-DAY(Table13[[#This Row],[Date]])+1</f>
        <v>46023</v>
      </c>
      <c r="E283" s="7">
        <f t="shared" si="16"/>
        <v>31</v>
      </c>
      <c r="F283" s="103" t="str">
        <f>IFERROR(_xlfn.XLOOKUP($A283,'Raw Data'!$G:$G,'Raw Data'!$AM:$AM),"")</f>
        <v/>
      </c>
      <c r="G283" s="104" t="str">
        <f>IFERROR(_xlfn.XLOOKUP($A283,'Raw Data'!$G:$G,'Raw Data'!$AB:$AB),"")</f>
        <v/>
      </c>
      <c r="H283" s="104"/>
      <c r="I283" s="104" t="str">
        <f>IFERROR(_xlfn.XLOOKUP($A283,'Raw Data'!$G:$G,'Raw Data'!$AC:$AC),"")</f>
        <v/>
      </c>
      <c r="J283" s="104"/>
      <c r="K283" s="104" t="str">
        <f>IFERROR(_xlfn.XLOOKUP($A283,'Raw Data'!$G:$G,'Raw Data'!AD:AD),"")</f>
        <v/>
      </c>
      <c r="L283" s="104" t="str">
        <f>IFERROR(_xlfn.XLOOKUP($A283,'Raw Data'!$G:$G,'Raw Data'!AE:AE),"")</f>
        <v/>
      </c>
      <c r="M283" s="104" t="str">
        <f>IFERROR(_xlfn.XLOOKUP($A283,'Raw Data'!$G:$G,'Raw Data'!AF:AF),"")</f>
        <v/>
      </c>
      <c r="N283" s="104" t="str">
        <f>IFERROR(_xlfn.XLOOKUP($A283,'Raw Data'!$G:$G,'Raw Data'!AG:AG),"")</f>
        <v/>
      </c>
      <c r="O283" s="105" t="str">
        <f>IFERROR(1-SUMIF('Plant BD'!$B:$B,$A283,'Plant BD'!$AM:$AM)/($AA283+SUMIF('Plant BD'!$B:$B,$A283,'Plant BD'!$AM:$AM)),"")</f>
        <v/>
      </c>
      <c r="P283" s="105"/>
      <c r="Q283" s="106"/>
      <c r="R283" s="105" t="str">
        <f>IFERROR(1-SUMIF('Grid BD'!$B:$B,$A283,'Grid BD'!$AE:$AE)/($AA283+SUMIF('Grid BD'!$B:$B,$A283,'Grid BD'!$AE:$AE)),"")</f>
        <v/>
      </c>
      <c r="T283" s="106"/>
      <c r="U283" s="107" t="str">
        <f t="shared" si="17"/>
        <v/>
      </c>
      <c r="V283" s="107"/>
      <c r="W283" s="108" t="str">
        <f t="shared" si="18"/>
        <v/>
      </c>
      <c r="X283" s="101" t="str">
        <f>IFERROR(_xlfn.XLOOKUP($A283,'Raw Data'!$G:$G,'Raw Data'!AI:AI),"")</f>
        <v/>
      </c>
      <c r="Y283" s="101" t="str">
        <f>IFERROR(_xlfn.XLOOKUP($A283,'Raw Data'!$G:$G,'Raw Data'!AJ:AJ),"")</f>
        <v/>
      </c>
      <c r="Z283" s="101" t="str">
        <f>IFERROR(_xlfn.XLOOKUP($A283,'Raw Data'!$G:$G,'Raw Data'!AK:AK),"")</f>
        <v/>
      </c>
      <c r="AA283" s="101" t="str">
        <f>IFERROR(_xlfn.XLOOKUP($A283,'Raw Data'!$G:$G,'Raw Data'!$AL:$AL)*(1+(_xlfn.XLOOKUP(Table13[[#This Row],[Month Year]],JMR!$A:$A,JMR!$J:$J))),"")</f>
        <v/>
      </c>
      <c r="AB283" s="101" t="str">
        <f>IFERROR(_xlfn.XLOOKUP($A283,'Raw Data'!$G:$G,'Raw Data'!H:H),"")</f>
        <v/>
      </c>
      <c r="AC283" s="67">
        <f>IFERROR(_xlfn.XLOOKUP($D283,'Modelling New'!$D:$D,'Modelling New'!P:P),"")</f>
        <v>5.9322580645161294</v>
      </c>
      <c r="AD283" s="101">
        <f>IFERROR(_xlfn.XLOOKUP($D283,'Modelling New'!$D:$D,'Modelling New'!$T:$T)*1000,"")</f>
        <v>34475.662965312498</v>
      </c>
      <c r="AE283" s="109">
        <f>IFERROR(_xlfn.XLOOKUP($D283,'Modelling New'!$D:$D,'Modelling New'!O:O),"")</f>
        <v>0.72455188248968172</v>
      </c>
      <c r="AF283" s="108">
        <f>IFERROR(_xlfn.XLOOKUP($D283,'Modelling New'!$D:$D,'Modelling New'!W:W),"")</f>
        <v>0.17909286450248987</v>
      </c>
      <c r="AG283" s="108">
        <f>IFERROR(_xlfn.XLOOKUP($D283,'Modelling New'!$D:$D,'Modelling New'!AE:AE),"")</f>
        <v>0.98040000000000005</v>
      </c>
      <c r="AH283" s="128">
        <f>IFERROR(_xlfn.XLOOKUP($D283,'Modelling New'!$D:$D,'Modelling New'!AF:AF),"")</f>
        <v>0.98</v>
      </c>
      <c r="AN283" s="105"/>
      <c r="AO283" s="108"/>
      <c r="AP283" s="108"/>
      <c r="AQ283" s="108"/>
      <c r="AR283" s="101">
        <f>'Basic Data'!$B$98/1000</f>
        <v>8.0208999999999993</v>
      </c>
      <c r="AT283" s="7" t="str">
        <f>IFERROR(_xlfn.XLOOKUP(Table13[[#This Row],[Date]],'Raw Data'!$G:$G,'Raw Data'!$AN:$AN),"")</f>
        <v/>
      </c>
      <c r="AU283" s="7">
        <f>IFERROR(_xlfn.XLOOKUP(Table13[[#This Row],[Month Year]],'Modelling New'!$D:$D,'Modelling New'!$AO:$AO),"")</f>
        <v>8</v>
      </c>
      <c r="AV283" s="7">
        <f>SUMIF('Curtailment Records'!$C:$C,Table13[[#This Row],[Date]],'Curtailment Records'!$R:$R)/1000</f>
        <v>0</v>
      </c>
    </row>
    <row r="284" spans="1:48" x14ac:dyDescent="0.3">
      <c r="A284" s="100">
        <f t="shared" si="19"/>
        <v>46027</v>
      </c>
      <c r="B284" s="101">
        <f>YEAR(Table13[[#This Row],[Date]])+IF(MONTH(Table13[[#This Row],[Date]])&gt;=4,1,0)</f>
        <v>2026</v>
      </c>
      <c r="C284" s="7">
        <f>YEAR(Table13[[#This Row],[Date]])</f>
        <v>2026</v>
      </c>
      <c r="D284" s="102">
        <f>Table13[[#This Row],[Date]]-DAY(Table13[[#This Row],[Date]])+1</f>
        <v>46023</v>
      </c>
      <c r="E284" s="7">
        <f t="shared" si="16"/>
        <v>31</v>
      </c>
      <c r="F284" s="103" t="str">
        <f>IFERROR(_xlfn.XLOOKUP($A284,'Raw Data'!$G:$G,'Raw Data'!$AM:$AM),"")</f>
        <v/>
      </c>
      <c r="G284" s="104" t="str">
        <f>IFERROR(_xlfn.XLOOKUP($A284,'Raw Data'!$G:$G,'Raw Data'!$AB:$AB),"")</f>
        <v/>
      </c>
      <c r="H284" s="104"/>
      <c r="I284" s="104" t="str">
        <f>IFERROR(_xlfn.XLOOKUP($A284,'Raw Data'!$G:$G,'Raw Data'!$AC:$AC),"")</f>
        <v/>
      </c>
      <c r="J284" s="104"/>
      <c r="K284" s="104" t="str">
        <f>IFERROR(_xlfn.XLOOKUP($A284,'Raw Data'!$G:$G,'Raw Data'!AD:AD),"")</f>
        <v/>
      </c>
      <c r="L284" s="104" t="str">
        <f>IFERROR(_xlfn.XLOOKUP($A284,'Raw Data'!$G:$G,'Raw Data'!AE:AE),"")</f>
        <v/>
      </c>
      <c r="M284" s="104" t="str">
        <f>IFERROR(_xlfn.XLOOKUP($A284,'Raw Data'!$G:$G,'Raw Data'!AF:AF),"")</f>
        <v/>
      </c>
      <c r="N284" s="104" t="str">
        <f>IFERROR(_xlfn.XLOOKUP($A284,'Raw Data'!$G:$G,'Raw Data'!AG:AG),"")</f>
        <v/>
      </c>
      <c r="O284" s="105" t="str">
        <f>IFERROR(1-SUMIF('Plant BD'!$B:$B,$A284,'Plant BD'!$AM:$AM)/($AA284+SUMIF('Plant BD'!$B:$B,$A284,'Plant BD'!$AM:$AM)),"")</f>
        <v/>
      </c>
      <c r="P284" s="105"/>
      <c r="Q284" s="106"/>
      <c r="R284" s="105" t="str">
        <f>IFERROR(1-SUMIF('Grid BD'!$B:$B,$A284,'Grid BD'!$AE:$AE)/($AA284+SUMIF('Grid BD'!$B:$B,$A284,'Grid BD'!$AE:$AE)),"")</f>
        <v/>
      </c>
      <c r="T284" s="106"/>
      <c r="U284" s="107" t="str">
        <f t="shared" si="17"/>
        <v/>
      </c>
      <c r="V284" s="107"/>
      <c r="W284" s="108" t="str">
        <f t="shared" si="18"/>
        <v/>
      </c>
      <c r="X284" s="101" t="str">
        <f>IFERROR(_xlfn.XLOOKUP($A284,'Raw Data'!$G:$G,'Raw Data'!AI:AI),"")</f>
        <v/>
      </c>
      <c r="Y284" s="101" t="str">
        <f>IFERROR(_xlfn.XLOOKUP($A284,'Raw Data'!$G:$G,'Raw Data'!AJ:AJ),"")</f>
        <v/>
      </c>
      <c r="Z284" s="101" t="str">
        <f>IFERROR(_xlfn.XLOOKUP($A284,'Raw Data'!$G:$G,'Raw Data'!AK:AK),"")</f>
        <v/>
      </c>
      <c r="AA284" s="101" t="str">
        <f>IFERROR(_xlfn.XLOOKUP($A284,'Raw Data'!$G:$G,'Raw Data'!$AL:$AL)*(1+(_xlfn.XLOOKUP(Table13[[#This Row],[Month Year]],JMR!$A:$A,JMR!$J:$J))),"")</f>
        <v/>
      </c>
      <c r="AB284" s="101" t="str">
        <f>IFERROR(_xlfn.XLOOKUP($A284,'Raw Data'!$G:$G,'Raw Data'!H:H),"")</f>
        <v/>
      </c>
      <c r="AC284" s="67">
        <f>IFERROR(_xlfn.XLOOKUP($D284,'Modelling New'!$D:$D,'Modelling New'!P:P),"")</f>
        <v>5.9322580645161294</v>
      </c>
      <c r="AD284" s="101">
        <f>IFERROR(_xlfn.XLOOKUP($D284,'Modelling New'!$D:$D,'Modelling New'!$T:$T)*1000,"")</f>
        <v>34475.662965312498</v>
      </c>
      <c r="AE284" s="109">
        <f>IFERROR(_xlfn.XLOOKUP($D284,'Modelling New'!$D:$D,'Modelling New'!O:O),"")</f>
        <v>0.72455188248968172</v>
      </c>
      <c r="AF284" s="108">
        <f>IFERROR(_xlfn.XLOOKUP($D284,'Modelling New'!$D:$D,'Modelling New'!W:W),"")</f>
        <v>0.17909286450248987</v>
      </c>
      <c r="AG284" s="108">
        <f>IFERROR(_xlfn.XLOOKUP($D284,'Modelling New'!$D:$D,'Modelling New'!AE:AE),"")</f>
        <v>0.98040000000000005</v>
      </c>
      <c r="AH284" s="128">
        <f>IFERROR(_xlfn.XLOOKUP($D284,'Modelling New'!$D:$D,'Modelling New'!AF:AF),"")</f>
        <v>0.98</v>
      </c>
      <c r="AN284" s="105"/>
      <c r="AO284" s="108"/>
      <c r="AP284" s="108"/>
      <c r="AQ284" s="108"/>
      <c r="AR284" s="101">
        <f>'Basic Data'!$B$98/1000</f>
        <v>8.0208999999999993</v>
      </c>
      <c r="AT284" s="7" t="str">
        <f>IFERROR(_xlfn.XLOOKUP(Table13[[#This Row],[Date]],'Raw Data'!$G:$G,'Raw Data'!$AN:$AN),"")</f>
        <v/>
      </c>
      <c r="AU284" s="7">
        <f>IFERROR(_xlfn.XLOOKUP(Table13[[#This Row],[Month Year]],'Modelling New'!$D:$D,'Modelling New'!$AO:$AO),"")</f>
        <v>8</v>
      </c>
      <c r="AV284" s="7">
        <f>SUMIF('Curtailment Records'!$C:$C,Table13[[#This Row],[Date]],'Curtailment Records'!$R:$R)/1000</f>
        <v>0</v>
      </c>
    </row>
    <row r="285" spans="1:48" x14ac:dyDescent="0.3">
      <c r="A285" s="100">
        <f t="shared" si="19"/>
        <v>46028</v>
      </c>
      <c r="B285" s="101">
        <f>YEAR(Table13[[#This Row],[Date]])+IF(MONTH(Table13[[#This Row],[Date]])&gt;=4,1,0)</f>
        <v>2026</v>
      </c>
      <c r="C285" s="7">
        <f>YEAR(Table13[[#This Row],[Date]])</f>
        <v>2026</v>
      </c>
      <c r="D285" s="102">
        <f>Table13[[#This Row],[Date]]-DAY(Table13[[#This Row],[Date]])+1</f>
        <v>46023</v>
      </c>
      <c r="E285" s="7">
        <f t="shared" si="16"/>
        <v>31</v>
      </c>
      <c r="F285" s="103" t="str">
        <f>IFERROR(_xlfn.XLOOKUP($A285,'Raw Data'!$G:$G,'Raw Data'!$AM:$AM),"")</f>
        <v/>
      </c>
      <c r="G285" s="104" t="str">
        <f>IFERROR(_xlfn.XLOOKUP($A285,'Raw Data'!$G:$G,'Raw Data'!$AB:$AB),"")</f>
        <v/>
      </c>
      <c r="H285" s="104"/>
      <c r="I285" s="104" t="str">
        <f>IFERROR(_xlfn.XLOOKUP($A285,'Raw Data'!$G:$G,'Raw Data'!$AC:$AC),"")</f>
        <v/>
      </c>
      <c r="J285" s="104"/>
      <c r="K285" s="104" t="str">
        <f>IFERROR(_xlfn.XLOOKUP($A285,'Raw Data'!$G:$G,'Raw Data'!AD:AD),"")</f>
        <v/>
      </c>
      <c r="L285" s="104" t="str">
        <f>IFERROR(_xlfn.XLOOKUP($A285,'Raw Data'!$G:$G,'Raw Data'!AE:AE),"")</f>
        <v/>
      </c>
      <c r="M285" s="104" t="str">
        <f>IFERROR(_xlfn.XLOOKUP($A285,'Raw Data'!$G:$G,'Raw Data'!AF:AF),"")</f>
        <v/>
      </c>
      <c r="N285" s="104" t="str">
        <f>IFERROR(_xlfn.XLOOKUP($A285,'Raw Data'!$G:$G,'Raw Data'!AG:AG),"")</f>
        <v/>
      </c>
      <c r="O285" s="105" t="str">
        <f>IFERROR(1-SUMIF('Plant BD'!$B:$B,$A285,'Plant BD'!$AM:$AM)/($AA285+SUMIF('Plant BD'!$B:$B,$A285,'Plant BD'!$AM:$AM)),"")</f>
        <v/>
      </c>
      <c r="P285" s="105"/>
      <c r="Q285" s="106"/>
      <c r="R285" s="105" t="str">
        <f>IFERROR(1-SUMIF('Grid BD'!$B:$B,$A285,'Grid BD'!$AE:$AE)/($AA285+SUMIF('Grid BD'!$B:$B,$A285,'Grid BD'!$AE:$AE)),"")</f>
        <v/>
      </c>
      <c r="T285" s="106"/>
      <c r="U285" s="107" t="str">
        <f t="shared" si="17"/>
        <v/>
      </c>
      <c r="V285" s="107"/>
      <c r="W285" s="108" t="str">
        <f t="shared" si="18"/>
        <v/>
      </c>
      <c r="X285" s="101" t="str">
        <f>IFERROR(_xlfn.XLOOKUP($A285,'Raw Data'!$G:$G,'Raw Data'!AI:AI),"")</f>
        <v/>
      </c>
      <c r="Y285" s="101" t="str">
        <f>IFERROR(_xlfn.XLOOKUP($A285,'Raw Data'!$G:$G,'Raw Data'!AJ:AJ),"")</f>
        <v/>
      </c>
      <c r="Z285" s="101" t="str">
        <f>IFERROR(_xlfn.XLOOKUP($A285,'Raw Data'!$G:$G,'Raw Data'!AK:AK),"")</f>
        <v/>
      </c>
      <c r="AA285" s="101" t="str">
        <f>IFERROR(_xlfn.XLOOKUP($A285,'Raw Data'!$G:$G,'Raw Data'!$AL:$AL)*(1+(_xlfn.XLOOKUP(Table13[[#This Row],[Month Year]],JMR!$A:$A,JMR!$J:$J))),"")</f>
        <v/>
      </c>
      <c r="AB285" s="101" t="str">
        <f>IFERROR(_xlfn.XLOOKUP($A285,'Raw Data'!$G:$G,'Raw Data'!H:H),"")</f>
        <v/>
      </c>
      <c r="AC285" s="67">
        <f>IFERROR(_xlfn.XLOOKUP($D285,'Modelling New'!$D:$D,'Modelling New'!P:P),"")</f>
        <v>5.9322580645161294</v>
      </c>
      <c r="AD285" s="101">
        <f>IFERROR(_xlfn.XLOOKUP($D285,'Modelling New'!$D:$D,'Modelling New'!$T:$T)*1000,"")</f>
        <v>34475.662965312498</v>
      </c>
      <c r="AE285" s="109">
        <f>IFERROR(_xlfn.XLOOKUP($D285,'Modelling New'!$D:$D,'Modelling New'!O:O),"")</f>
        <v>0.72455188248968172</v>
      </c>
      <c r="AF285" s="108">
        <f>IFERROR(_xlfn.XLOOKUP($D285,'Modelling New'!$D:$D,'Modelling New'!W:W),"")</f>
        <v>0.17909286450248987</v>
      </c>
      <c r="AG285" s="108">
        <f>IFERROR(_xlfn.XLOOKUP($D285,'Modelling New'!$D:$D,'Modelling New'!AE:AE),"")</f>
        <v>0.98040000000000005</v>
      </c>
      <c r="AH285" s="128">
        <f>IFERROR(_xlfn.XLOOKUP($D285,'Modelling New'!$D:$D,'Modelling New'!AF:AF),"")</f>
        <v>0.98</v>
      </c>
      <c r="AN285" s="105"/>
      <c r="AO285" s="108"/>
      <c r="AP285" s="108"/>
      <c r="AQ285" s="108"/>
      <c r="AR285" s="101">
        <f>'Basic Data'!$B$98/1000</f>
        <v>8.0208999999999993</v>
      </c>
      <c r="AT285" s="7" t="str">
        <f>IFERROR(_xlfn.XLOOKUP(Table13[[#This Row],[Date]],'Raw Data'!$G:$G,'Raw Data'!$AN:$AN),"")</f>
        <v/>
      </c>
      <c r="AU285" s="7">
        <f>IFERROR(_xlfn.XLOOKUP(Table13[[#This Row],[Month Year]],'Modelling New'!$D:$D,'Modelling New'!$AO:$AO),"")</f>
        <v>8</v>
      </c>
      <c r="AV285" s="7">
        <f>SUMIF('Curtailment Records'!$C:$C,Table13[[#This Row],[Date]],'Curtailment Records'!$R:$R)/1000</f>
        <v>0</v>
      </c>
    </row>
    <row r="286" spans="1:48" x14ac:dyDescent="0.3">
      <c r="A286" s="100">
        <f t="shared" si="19"/>
        <v>46029</v>
      </c>
      <c r="B286" s="101">
        <f>YEAR(Table13[[#This Row],[Date]])+IF(MONTH(Table13[[#This Row],[Date]])&gt;=4,1,0)</f>
        <v>2026</v>
      </c>
      <c r="C286" s="7">
        <f>YEAR(Table13[[#This Row],[Date]])</f>
        <v>2026</v>
      </c>
      <c r="D286" s="102">
        <f>Table13[[#This Row],[Date]]-DAY(Table13[[#This Row],[Date]])+1</f>
        <v>46023</v>
      </c>
      <c r="E286" s="7">
        <f t="shared" si="16"/>
        <v>31</v>
      </c>
      <c r="F286" s="103" t="str">
        <f>IFERROR(_xlfn.XLOOKUP($A286,'Raw Data'!$G:$G,'Raw Data'!$AM:$AM),"")</f>
        <v/>
      </c>
      <c r="G286" s="104" t="str">
        <f>IFERROR(_xlfn.XLOOKUP($A286,'Raw Data'!$G:$G,'Raw Data'!$AB:$AB),"")</f>
        <v/>
      </c>
      <c r="H286" s="104"/>
      <c r="I286" s="104" t="str">
        <f>IFERROR(_xlfn.XLOOKUP($A286,'Raw Data'!$G:$G,'Raw Data'!$AC:$AC),"")</f>
        <v/>
      </c>
      <c r="J286" s="104"/>
      <c r="K286" s="104" t="str">
        <f>IFERROR(_xlfn.XLOOKUP($A286,'Raw Data'!$G:$G,'Raw Data'!AD:AD),"")</f>
        <v/>
      </c>
      <c r="L286" s="104" t="str">
        <f>IFERROR(_xlfn.XLOOKUP($A286,'Raw Data'!$G:$G,'Raw Data'!AE:AE),"")</f>
        <v/>
      </c>
      <c r="M286" s="104" t="str">
        <f>IFERROR(_xlfn.XLOOKUP($A286,'Raw Data'!$G:$G,'Raw Data'!AF:AF),"")</f>
        <v/>
      </c>
      <c r="N286" s="104" t="str">
        <f>IFERROR(_xlfn.XLOOKUP($A286,'Raw Data'!$G:$G,'Raw Data'!AG:AG),"")</f>
        <v/>
      </c>
      <c r="O286" s="105" t="str">
        <f>IFERROR(1-SUMIF('Plant BD'!$B:$B,$A286,'Plant BD'!$AM:$AM)/($AA286+SUMIF('Plant BD'!$B:$B,$A286,'Plant BD'!$AM:$AM)),"")</f>
        <v/>
      </c>
      <c r="P286" s="105"/>
      <c r="Q286" s="106"/>
      <c r="R286" s="105" t="str">
        <f>IFERROR(1-SUMIF('Grid BD'!$B:$B,$A286,'Grid BD'!$AE:$AE)/($AA286+SUMIF('Grid BD'!$B:$B,$A286,'Grid BD'!$AE:$AE)),"")</f>
        <v/>
      </c>
      <c r="T286" s="106"/>
      <c r="U286" s="107" t="str">
        <f t="shared" si="17"/>
        <v/>
      </c>
      <c r="V286" s="107"/>
      <c r="W286" s="108" t="str">
        <f t="shared" si="18"/>
        <v/>
      </c>
      <c r="X286" s="101" t="str">
        <f>IFERROR(_xlfn.XLOOKUP($A286,'Raw Data'!$G:$G,'Raw Data'!AI:AI),"")</f>
        <v/>
      </c>
      <c r="Y286" s="101" t="str">
        <f>IFERROR(_xlfn.XLOOKUP($A286,'Raw Data'!$G:$G,'Raw Data'!AJ:AJ),"")</f>
        <v/>
      </c>
      <c r="Z286" s="101" t="str">
        <f>IFERROR(_xlfn.XLOOKUP($A286,'Raw Data'!$G:$G,'Raw Data'!AK:AK),"")</f>
        <v/>
      </c>
      <c r="AA286" s="101" t="str">
        <f>IFERROR(_xlfn.XLOOKUP($A286,'Raw Data'!$G:$G,'Raw Data'!$AL:$AL)*(1+(_xlfn.XLOOKUP(Table13[[#This Row],[Month Year]],JMR!$A:$A,JMR!$J:$J))),"")</f>
        <v/>
      </c>
      <c r="AB286" s="101" t="str">
        <f>IFERROR(_xlfn.XLOOKUP($A286,'Raw Data'!$G:$G,'Raw Data'!H:H),"")</f>
        <v/>
      </c>
      <c r="AC286" s="67">
        <f>IFERROR(_xlfn.XLOOKUP($D286,'Modelling New'!$D:$D,'Modelling New'!P:P),"")</f>
        <v>5.9322580645161294</v>
      </c>
      <c r="AD286" s="101">
        <f>IFERROR(_xlfn.XLOOKUP($D286,'Modelling New'!$D:$D,'Modelling New'!$T:$T)*1000,"")</f>
        <v>34475.662965312498</v>
      </c>
      <c r="AE286" s="109">
        <f>IFERROR(_xlfn.XLOOKUP($D286,'Modelling New'!$D:$D,'Modelling New'!O:O),"")</f>
        <v>0.72455188248968172</v>
      </c>
      <c r="AF286" s="108">
        <f>IFERROR(_xlfn.XLOOKUP($D286,'Modelling New'!$D:$D,'Modelling New'!W:W),"")</f>
        <v>0.17909286450248987</v>
      </c>
      <c r="AG286" s="108">
        <f>IFERROR(_xlfn.XLOOKUP($D286,'Modelling New'!$D:$D,'Modelling New'!AE:AE),"")</f>
        <v>0.98040000000000005</v>
      </c>
      <c r="AH286" s="128">
        <f>IFERROR(_xlfn.XLOOKUP($D286,'Modelling New'!$D:$D,'Modelling New'!AF:AF),"")</f>
        <v>0.98</v>
      </c>
      <c r="AN286" s="105"/>
      <c r="AO286" s="108"/>
      <c r="AP286" s="108"/>
      <c r="AQ286" s="108"/>
      <c r="AR286" s="101">
        <f>'Basic Data'!$B$98/1000</f>
        <v>8.0208999999999993</v>
      </c>
      <c r="AT286" s="7" t="str">
        <f>IFERROR(_xlfn.XLOOKUP(Table13[[#This Row],[Date]],'Raw Data'!$G:$G,'Raw Data'!$AN:$AN),"")</f>
        <v/>
      </c>
      <c r="AU286" s="7">
        <f>IFERROR(_xlfn.XLOOKUP(Table13[[#This Row],[Month Year]],'Modelling New'!$D:$D,'Modelling New'!$AO:$AO),"")</f>
        <v>8</v>
      </c>
      <c r="AV286" s="7">
        <f>SUMIF('Curtailment Records'!$C:$C,Table13[[#This Row],[Date]],'Curtailment Records'!$R:$R)/1000</f>
        <v>0</v>
      </c>
    </row>
    <row r="287" spans="1:48" x14ac:dyDescent="0.3">
      <c r="A287" s="100">
        <f t="shared" si="19"/>
        <v>46030</v>
      </c>
      <c r="B287" s="101">
        <f>YEAR(Table13[[#This Row],[Date]])+IF(MONTH(Table13[[#This Row],[Date]])&gt;=4,1,0)</f>
        <v>2026</v>
      </c>
      <c r="C287" s="7">
        <f>YEAR(Table13[[#This Row],[Date]])</f>
        <v>2026</v>
      </c>
      <c r="D287" s="102">
        <f>Table13[[#This Row],[Date]]-DAY(Table13[[#This Row],[Date]])+1</f>
        <v>46023</v>
      </c>
      <c r="E287" s="7">
        <f t="shared" si="16"/>
        <v>31</v>
      </c>
      <c r="F287" s="103" t="str">
        <f>IFERROR(_xlfn.XLOOKUP($A287,'Raw Data'!$G:$G,'Raw Data'!$AM:$AM),"")</f>
        <v/>
      </c>
      <c r="G287" s="104" t="str">
        <f>IFERROR(_xlfn.XLOOKUP($A287,'Raw Data'!$G:$G,'Raw Data'!$AB:$AB),"")</f>
        <v/>
      </c>
      <c r="H287" s="104"/>
      <c r="I287" s="104" t="str">
        <f>IFERROR(_xlfn.XLOOKUP($A287,'Raw Data'!$G:$G,'Raw Data'!$AC:$AC),"")</f>
        <v/>
      </c>
      <c r="J287" s="104"/>
      <c r="K287" s="104" t="str">
        <f>IFERROR(_xlfn.XLOOKUP($A287,'Raw Data'!$G:$G,'Raw Data'!AD:AD),"")</f>
        <v/>
      </c>
      <c r="L287" s="104" t="str">
        <f>IFERROR(_xlfn.XLOOKUP($A287,'Raw Data'!$G:$G,'Raw Data'!AE:AE),"")</f>
        <v/>
      </c>
      <c r="M287" s="104" t="str">
        <f>IFERROR(_xlfn.XLOOKUP($A287,'Raw Data'!$G:$G,'Raw Data'!AF:AF),"")</f>
        <v/>
      </c>
      <c r="N287" s="104" t="str">
        <f>IFERROR(_xlfn.XLOOKUP($A287,'Raw Data'!$G:$G,'Raw Data'!AG:AG),"")</f>
        <v/>
      </c>
      <c r="O287" s="105" t="str">
        <f>IFERROR(1-SUMIF('Plant BD'!$B:$B,$A287,'Plant BD'!$AM:$AM)/($AA287+SUMIF('Plant BD'!$B:$B,$A287,'Plant BD'!$AM:$AM)),"")</f>
        <v/>
      </c>
      <c r="P287" s="105"/>
      <c r="Q287" s="106"/>
      <c r="R287" s="105" t="str">
        <f>IFERROR(1-SUMIF('Grid BD'!$B:$B,$A287,'Grid BD'!$AE:$AE)/($AA287+SUMIF('Grid BD'!$B:$B,$A287,'Grid BD'!$AE:$AE)),"")</f>
        <v/>
      </c>
      <c r="T287" s="106"/>
      <c r="U287" s="107" t="str">
        <f t="shared" si="17"/>
        <v/>
      </c>
      <c r="V287" s="107"/>
      <c r="W287" s="108" t="str">
        <f t="shared" si="18"/>
        <v/>
      </c>
      <c r="X287" s="101" t="str">
        <f>IFERROR(_xlfn.XLOOKUP($A287,'Raw Data'!$G:$G,'Raw Data'!AI:AI),"")</f>
        <v/>
      </c>
      <c r="Y287" s="101" t="str">
        <f>IFERROR(_xlfn.XLOOKUP($A287,'Raw Data'!$G:$G,'Raw Data'!AJ:AJ),"")</f>
        <v/>
      </c>
      <c r="Z287" s="101" t="str">
        <f>IFERROR(_xlfn.XLOOKUP($A287,'Raw Data'!$G:$G,'Raw Data'!AK:AK),"")</f>
        <v/>
      </c>
      <c r="AA287" s="101" t="str">
        <f>IFERROR(_xlfn.XLOOKUP($A287,'Raw Data'!$G:$G,'Raw Data'!$AL:$AL)*(1+(_xlfn.XLOOKUP(Table13[[#This Row],[Month Year]],JMR!$A:$A,JMR!$J:$J))),"")</f>
        <v/>
      </c>
      <c r="AB287" s="101" t="str">
        <f>IFERROR(_xlfn.XLOOKUP($A287,'Raw Data'!$G:$G,'Raw Data'!H:H),"")</f>
        <v/>
      </c>
      <c r="AC287" s="67">
        <f>IFERROR(_xlfn.XLOOKUP($D287,'Modelling New'!$D:$D,'Modelling New'!P:P),"")</f>
        <v>5.9322580645161294</v>
      </c>
      <c r="AD287" s="101">
        <f>IFERROR(_xlfn.XLOOKUP($D287,'Modelling New'!$D:$D,'Modelling New'!$T:$T)*1000,"")</f>
        <v>34475.662965312498</v>
      </c>
      <c r="AE287" s="109">
        <f>IFERROR(_xlfn.XLOOKUP($D287,'Modelling New'!$D:$D,'Modelling New'!O:O),"")</f>
        <v>0.72455188248968172</v>
      </c>
      <c r="AF287" s="108">
        <f>IFERROR(_xlfn.XLOOKUP($D287,'Modelling New'!$D:$D,'Modelling New'!W:W),"")</f>
        <v>0.17909286450248987</v>
      </c>
      <c r="AG287" s="108">
        <f>IFERROR(_xlfn.XLOOKUP($D287,'Modelling New'!$D:$D,'Modelling New'!AE:AE),"")</f>
        <v>0.98040000000000005</v>
      </c>
      <c r="AH287" s="128">
        <f>IFERROR(_xlfn.XLOOKUP($D287,'Modelling New'!$D:$D,'Modelling New'!AF:AF),"")</f>
        <v>0.98</v>
      </c>
      <c r="AN287" s="105"/>
      <c r="AO287" s="108"/>
      <c r="AP287" s="108"/>
      <c r="AQ287" s="108"/>
      <c r="AR287" s="101">
        <f>'Basic Data'!$B$98/1000</f>
        <v>8.0208999999999993</v>
      </c>
      <c r="AT287" s="7" t="str">
        <f>IFERROR(_xlfn.XLOOKUP(Table13[[#This Row],[Date]],'Raw Data'!$G:$G,'Raw Data'!$AN:$AN),"")</f>
        <v/>
      </c>
      <c r="AU287" s="7">
        <f>IFERROR(_xlfn.XLOOKUP(Table13[[#This Row],[Month Year]],'Modelling New'!$D:$D,'Modelling New'!$AO:$AO),"")</f>
        <v>8</v>
      </c>
      <c r="AV287" s="7">
        <f>SUMIF('Curtailment Records'!$C:$C,Table13[[#This Row],[Date]],'Curtailment Records'!$R:$R)/1000</f>
        <v>0</v>
      </c>
    </row>
    <row r="288" spans="1:48" x14ac:dyDescent="0.3">
      <c r="A288" s="100">
        <f t="shared" si="19"/>
        <v>46031</v>
      </c>
      <c r="B288" s="101">
        <f>YEAR(Table13[[#This Row],[Date]])+IF(MONTH(Table13[[#This Row],[Date]])&gt;=4,1,0)</f>
        <v>2026</v>
      </c>
      <c r="C288" s="7">
        <f>YEAR(Table13[[#This Row],[Date]])</f>
        <v>2026</v>
      </c>
      <c r="D288" s="102">
        <f>Table13[[#This Row],[Date]]-DAY(Table13[[#This Row],[Date]])+1</f>
        <v>46023</v>
      </c>
      <c r="E288" s="7">
        <f t="shared" si="16"/>
        <v>31</v>
      </c>
      <c r="F288" s="103" t="str">
        <f>IFERROR(_xlfn.XLOOKUP($A288,'Raw Data'!$G:$G,'Raw Data'!$AM:$AM),"")</f>
        <v/>
      </c>
      <c r="G288" s="104" t="str">
        <f>IFERROR(_xlfn.XLOOKUP($A288,'Raw Data'!$G:$G,'Raw Data'!$AB:$AB),"")</f>
        <v/>
      </c>
      <c r="H288" s="104"/>
      <c r="I288" s="104" t="str">
        <f>IFERROR(_xlfn.XLOOKUP($A288,'Raw Data'!$G:$G,'Raw Data'!$AC:$AC),"")</f>
        <v/>
      </c>
      <c r="J288" s="104"/>
      <c r="K288" s="104" t="str">
        <f>IFERROR(_xlfn.XLOOKUP($A288,'Raw Data'!$G:$G,'Raw Data'!AD:AD),"")</f>
        <v/>
      </c>
      <c r="L288" s="104" t="str">
        <f>IFERROR(_xlfn.XLOOKUP($A288,'Raw Data'!$G:$G,'Raw Data'!AE:AE),"")</f>
        <v/>
      </c>
      <c r="M288" s="104" t="str">
        <f>IFERROR(_xlfn.XLOOKUP($A288,'Raw Data'!$G:$G,'Raw Data'!AF:AF),"")</f>
        <v/>
      </c>
      <c r="N288" s="104" t="str">
        <f>IFERROR(_xlfn.XLOOKUP($A288,'Raw Data'!$G:$G,'Raw Data'!AG:AG),"")</f>
        <v/>
      </c>
      <c r="O288" s="105" t="str">
        <f>IFERROR(1-SUMIF('Plant BD'!$B:$B,$A288,'Plant BD'!$AM:$AM)/($AA288+SUMIF('Plant BD'!$B:$B,$A288,'Plant BD'!$AM:$AM)),"")</f>
        <v/>
      </c>
      <c r="P288" s="105"/>
      <c r="Q288" s="106"/>
      <c r="R288" s="105" t="str">
        <f>IFERROR(1-SUMIF('Grid BD'!$B:$B,$A288,'Grid BD'!$AE:$AE)/($AA288+SUMIF('Grid BD'!$B:$B,$A288,'Grid BD'!$AE:$AE)),"")</f>
        <v/>
      </c>
      <c r="T288" s="106"/>
      <c r="U288" s="107" t="str">
        <f t="shared" si="17"/>
        <v/>
      </c>
      <c r="V288" s="107"/>
      <c r="W288" s="108" t="str">
        <f t="shared" si="18"/>
        <v/>
      </c>
      <c r="X288" s="101" t="str">
        <f>IFERROR(_xlfn.XLOOKUP($A288,'Raw Data'!$G:$G,'Raw Data'!AI:AI),"")</f>
        <v/>
      </c>
      <c r="Y288" s="101" t="str">
        <f>IFERROR(_xlfn.XLOOKUP($A288,'Raw Data'!$G:$G,'Raw Data'!AJ:AJ),"")</f>
        <v/>
      </c>
      <c r="Z288" s="101" t="str">
        <f>IFERROR(_xlfn.XLOOKUP($A288,'Raw Data'!$G:$G,'Raw Data'!AK:AK),"")</f>
        <v/>
      </c>
      <c r="AA288" s="101" t="str">
        <f>IFERROR(_xlfn.XLOOKUP($A288,'Raw Data'!$G:$G,'Raw Data'!$AL:$AL)*(1+(_xlfn.XLOOKUP(Table13[[#This Row],[Month Year]],JMR!$A:$A,JMR!$J:$J))),"")</f>
        <v/>
      </c>
      <c r="AB288" s="101" t="str">
        <f>IFERROR(_xlfn.XLOOKUP($A288,'Raw Data'!$G:$G,'Raw Data'!H:H),"")</f>
        <v/>
      </c>
      <c r="AC288" s="67">
        <f>IFERROR(_xlfn.XLOOKUP($D288,'Modelling New'!$D:$D,'Modelling New'!P:P),"")</f>
        <v>5.9322580645161294</v>
      </c>
      <c r="AD288" s="101">
        <f>IFERROR(_xlfn.XLOOKUP($D288,'Modelling New'!$D:$D,'Modelling New'!$T:$T)*1000,"")</f>
        <v>34475.662965312498</v>
      </c>
      <c r="AE288" s="109">
        <f>IFERROR(_xlfn.XLOOKUP($D288,'Modelling New'!$D:$D,'Modelling New'!O:O),"")</f>
        <v>0.72455188248968172</v>
      </c>
      <c r="AF288" s="108">
        <f>IFERROR(_xlfn.XLOOKUP($D288,'Modelling New'!$D:$D,'Modelling New'!W:W),"")</f>
        <v>0.17909286450248987</v>
      </c>
      <c r="AG288" s="108">
        <f>IFERROR(_xlfn.XLOOKUP($D288,'Modelling New'!$D:$D,'Modelling New'!AE:AE),"")</f>
        <v>0.98040000000000005</v>
      </c>
      <c r="AH288" s="128">
        <f>IFERROR(_xlfn.XLOOKUP($D288,'Modelling New'!$D:$D,'Modelling New'!AF:AF),"")</f>
        <v>0.98</v>
      </c>
      <c r="AN288" s="105"/>
      <c r="AO288" s="108"/>
      <c r="AP288" s="108"/>
      <c r="AQ288" s="108"/>
      <c r="AR288" s="101">
        <f>'Basic Data'!$B$98/1000</f>
        <v>8.0208999999999993</v>
      </c>
      <c r="AT288" s="7" t="str">
        <f>IFERROR(_xlfn.XLOOKUP(Table13[[#This Row],[Date]],'Raw Data'!$G:$G,'Raw Data'!$AN:$AN),"")</f>
        <v/>
      </c>
      <c r="AU288" s="7">
        <f>IFERROR(_xlfn.XLOOKUP(Table13[[#This Row],[Month Year]],'Modelling New'!$D:$D,'Modelling New'!$AO:$AO),"")</f>
        <v>8</v>
      </c>
      <c r="AV288" s="7">
        <f>SUMIF('Curtailment Records'!$C:$C,Table13[[#This Row],[Date]],'Curtailment Records'!$R:$R)/1000</f>
        <v>0</v>
      </c>
    </row>
    <row r="289" spans="1:48" x14ac:dyDescent="0.3">
      <c r="A289" s="100">
        <f t="shared" si="19"/>
        <v>46032</v>
      </c>
      <c r="B289" s="101">
        <f>YEAR(Table13[[#This Row],[Date]])+IF(MONTH(Table13[[#This Row],[Date]])&gt;=4,1,0)</f>
        <v>2026</v>
      </c>
      <c r="C289" s="7">
        <f>YEAR(Table13[[#This Row],[Date]])</f>
        <v>2026</v>
      </c>
      <c r="D289" s="102">
        <f>Table13[[#This Row],[Date]]-DAY(Table13[[#This Row],[Date]])+1</f>
        <v>46023</v>
      </c>
      <c r="E289" s="7">
        <f t="shared" si="16"/>
        <v>31</v>
      </c>
      <c r="F289" s="103" t="str">
        <f>IFERROR(_xlfn.XLOOKUP($A289,'Raw Data'!$G:$G,'Raw Data'!$AM:$AM),"")</f>
        <v/>
      </c>
      <c r="G289" s="104" t="str">
        <f>IFERROR(_xlfn.XLOOKUP($A289,'Raw Data'!$G:$G,'Raw Data'!$AB:$AB),"")</f>
        <v/>
      </c>
      <c r="H289" s="104"/>
      <c r="I289" s="104" t="str">
        <f>IFERROR(_xlfn.XLOOKUP($A289,'Raw Data'!$G:$G,'Raw Data'!$AC:$AC),"")</f>
        <v/>
      </c>
      <c r="J289" s="104"/>
      <c r="K289" s="104" t="str">
        <f>IFERROR(_xlfn.XLOOKUP($A289,'Raw Data'!$G:$G,'Raw Data'!AD:AD),"")</f>
        <v/>
      </c>
      <c r="L289" s="104" t="str">
        <f>IFERROR(_xlfn.XLOOKUP($A289,'Raw Data'!$G:$G,'Raw Data'!AE:AE),"")</f>
        <v/>
      </c>
      <c r="M289" s="104" t="str">
        <f>IFERROR(_xlfn.XLOOKUP($A289,'Raw Data'!$G:$G,'Raw Data'!AF:AF),"")</f>
        <v/>
      </c>
      <c r="N289" s="104" t="str">
        <f>IFERROR(_xlfn.XLOOKUP($A289,'Raw Data'!$G:$G,'Raw Data'!AG:AG),"")</f>
        <v/>
      </c>
      <c r="O289" s="105" t="str">
        <f>IFERROR(1-SUMIF('Plant BD'!$B:$B,$A289,'Plant BD'!$AM:$AM)/($AA289+SUMIF('Plant BD'!$B:$B,$A289,'Plant BD'!$AM:$AM)),"")</f>
        <v/>
      </c>
      <c r="P289" s="105"/>
      <c r="Q289" s="106"/>
      <c r="R289" s="105" t="str">
        <f>IFERROR(1-SUMIF('Grid BD'!$B:$B,$A289,'Grid BD'!$AE:$AE)/($AA289+SUMIF('Grid BD'!$B:$B,$A289,'Grid BD'!$AE:$AE)),"")</f>
        <v/>
      </c>
      <c r="T289" s="106"/>
      <c r="U289" s="107" t="str">
        <f t="shared" si="17"/>
        <v/>
      </c>
      <c r="V289" s="107"/>
      <c r="W289" s="108" t="str">
        <f t="shared" si="18"/>
        <v/>
      </c>
      <c r="X289" s="101" t="str">
        <f>IFERROR(_xlfn.XLOOKUP($A289,'Raw Data'!$G:$G,'Raw Data'!AI:AI),"")</f>
        <v/>
      </c>
      <c r="Y289" s="101" t="str">
        <f>IFERROR(_xlfn.XLOOKUP($A289,'Raw Data'!$G:$G,'Raw Data'!AJ:AJ),"")</f>
        <v/>
      </c>
      <c r="Z289" s="101" t="str">
        <f>IFERROR(_xlfn.XLOOKUP($A289,'Raw Data'!$G:$G,'Raw Data'!AK:AK),"")</f>
        <v/>
      </c>
      <c r="AA289" s="101" t="str">
        <f>IFERROR(_xlfn.XLOOKUP($A289,'Raw Data'!$G:$G,'Raw Data'!$AL:$AL)*(1+(_xlfn.XLOOKUP(Table13[[#This Row],[Month Year]],JMR!$A:$A,JMR!$J:$J))),"")</f>
        <v/>
      </c>
      <c r="AB289" s="101" t="str">
        <f>IFERROR(_xlfn.XLOOKUP($A289,'Raw Data'!$G:$G,'Raw Data'!H:H),"")</f>
        <v/>
      </c>
      <c r="AC289" s="67">
        <f>IFERROR(_xlfn.XLOOKUP($D289,'Modelling New'!$D:$D,'Modelling New'!P:P),"")</f>
        <v>5.9322580645161294</v>
      </c>
      <c r="AD289" s="101">
        <f>IFERROR(_xlfn.XLOOKUP($D289,'Modelling New'!$D:$D,'Modelling New'!$T:$T)*1000,"")</f>
        <v>34475.662965312498</v>
      </c>
      <c r="AE289" s="109">
        <f>IFERROR(_xlfn.XLOOKUP($D289,'Modelling New'!$D:$D,'Modelling New'!O:O),"")</f>
        <v>0.72455188248968172</v>
      </c>
      <c r="AF289" s="108">
        <f>IFERROR(_xlfn.XLOOKUP($D289,'Modelling New'!$D:$D,'Modelling New'!W:W),"")</f>
        <v>0.17909286450248987</v>
      </c>
      <c r="AG289" s="108">
        <f>IFERROR(_xlfn.XLOOKUP($D289,'Modelling New'!$D:$D,'Modelling New'!AE:AE),"")</f>
        <v>0.98040000000000005</v>
      </c>
      <c r="AH289" s="128">
        <f>IFERROR(_xlfn.XLOOKUP($D289,'Modelling New'!$D:$D,'Modelling New'!AF:AF),"")</f>
        <v>0.98</v>
      </c>
      <c r="AN289" s="105"/>
      <c r="AO289" s="108"/>
      <c r="AP289" s="108"/>
      <c r="AQ289" s="108"/>
      <c r="AR289" s="101">
        <f>'Basic Data'!$B$98/1000</f>
        <v>8.0208999999999993</v>
      </c>
      <c r="AT289" s="7" t="str">
        <f>IFERROR(_xlfn.XLOOKUP(Table13[[#This Row],[Date]],'Raw Data'!$G:$G,'Raw Data'!$AN:$AN),"")</f>
        <v/>
      </c>
      <c r="AU289" s="7">
        <f>IFERROR(_xlfn.XLOOKUP(Table13[[#This Row],[Month Year]],'Modelling New'!$D:$D,'Modelling New'!$AO:$AO),"")</f>
        <v>8</v>
      </c>
      <c r="AV289" s="7">
        <f>SUMIF('Curtailment Records'!$C:$C,Table13[[#This Row],[Date]],'Curtailment Records'!$R:$R)/1000</f>
        <v>0</v>
      </c>
    </row>
    <row r="290" spans="1:48" x14ac:dyDescent="0.3">
      <c r="A290" s="100">
        <f t="shared" si="19"/>
        <v>46033</v>
      </c>
      <c r="B290" s="101">
        <f>YEAR(Table13[[#This Row],[Date]])+IF(MONTH(Table13[[#This Row],[Date]])&gt;=4,1,0)</f>
        <v>2026</v>
      </c>
      <c r="C290" s="7">
        <f>YEAR(Table13[[#This Row],[Date]])</f>
        <v>2026</v>
      </c>
      <c r="D290" s="102">
        <f>Table13[[#This Row],[Date]]-DAY(Table13[[#This Row],[Date]])+1</f>
        <v>46023</v>
      </c>
      <c r="E290" s="7">
        <f t="shared" si="16"/>
        <v>31</v>
      </c>
      <c r="F290" s="103" t="str">
        <f>IFERROR(_xlfn.XLOOKUP($A290,'Raw Data'!$G:$G,'Raw Data'!$AM:$AM),"")</f>
        <v/>
      </c>
      <c r="G290" s="104" t="str">
        <f>IFERROR(_xlfn.XLOOKUP($A290,'Raw Data'!$G:$G,'Raw Data'!$AB:$AB),"")</f>
        <v/>
      </c>
      <c r="H290" s="104"/>
      <c r="I290" s="104" t="str">
        <f>IFERROR(_xlfn.XLOOKUP($A290,'Raw Data'!$G:$G,'Raw Data'!$AC:$AC),"")</f>
        <v/>
      </c>
      <c r="J290" s="104"/>
      <c r="K290" s="104" t="str">
        <f>IFERROR(_xlfn.XLOOKUP($A290,'Raw Data'!$G:$G,'Raw Data'!AD:AD),"")</f>
        <v/>
      </c>
      <c r="L290" s="104" t="str">
        <f>IFERROR(_xlfn.XLOOKUP($A290,'Raw Data'!$G:$G,'Raw Data'!AE:AE),"")</f>
        <v/>
      </c>
      <c r="M290" s="104" t="str">
        <f>IFERROR(_xlfn.XLOOKUP($A290,'Raw Data'!$G:$G,'Raw Data'!AF:AF),"")</f>
        <v/>
      </c>
      <c r="N290" s="104" t="str">
        <f>IFERROR(_xlfn.XLOOKUP($A290,'Raw Data'!$G:$G,'Raw Data'!AG:AG),"")</f>
        <v/>
      </c>
      <c r="O290" s="105" t="str">
        <f>IFERROR(1-SUMIF('Plant BD'!$B:$B,$A290,'Plant BD'!$AM:$AM)/($AA290+SUMIF('Plant BD'!$B:$B,$A290,'Plant BD'!$AM:$AM)),"")</f>
        <v/>
      </c>
      <c r="P290" s="105"/>
      <c r="Q290" s="106"/>
      <c r="R290" s="105" t="str">
        <f>IFERROR(1-SUMIF('Grid BD'!$B:$B,$A290,'Grid BD'!$AE:$AE)/($AA290+SUMIF('Grid BD'!$B:$B,$A290,'Grid BD'!$AE:$AE)),"")</f>
        <v/>
      </c>
      <c r="T290" s="106"/>
      <c r="U290" s="107" t="str">
        <f t="shared" si="17"/>
        <v/>
      </c>
      <c r="V290" s="107"/>
      <c r="W290" s="108" t="str">
        <f t="shared" si="18"/>
        <v/>
      </c>
      <c r="X290" s="101" t="str">
        <f>IFERROR(_xlfn.XLOOKUP($A290,'Raw Data'!$G:$G,'Raw Data'!AI:AI),"")</f>
        <v/>
      </c>
      <c r="Y290" s="101" t="str">
        <f>IFERROR(_xlfn.XLOOKUP($A290,'Raw Data'!$G:$G,'Raw Data'!AJ:AJ),"")</f>
        <v/>
      </c>
      <c r="Z290" s="101" t="str">
        <f>IFERROR(_xlfn.XLOOKUP($A290,'Raw Data'!$G:$G,'Raw Data'!AK:AK),"")</f>
        <v/>
      </c>
      <c r="AA290" s="101" t="str">
        <f>IFERROR(_xlfn.XLOOKUP($A290,'Raw Data'!$G:$G,'Raw Data'!$AL:$AL)*(1+(_xlfn.XLOOKUP(Table13[[#This Row],[Month Year]],JMR!$A:$A,JMR!$J:$J))),"")</f>
        <v/>
      </c>
      <c r="AB290" s="101" t="str">
        <f>IFERROR(_xlfn.XLOOKUP($A290,'Raw Data'!$G:$G,'Raw Data'!H:H),"")</f>
        <v/>
      </c>
      <c r="AC290" s="67">
        <f>IFERROR(_xlfn.XLOOKUP($D290,'Modelling New'!$D:$D,'Modelling New'!P:P),"")</f>
        <v>5.9322580645161294</v>
      </c>
      <c r="AD290" s="101">
        <f>IFERROR(_xlfn.XLOOKUP($D290,'Modelling New'!$D:$D,'Modelling New'!$T:$T)*1000,"")</f>
        <v>34475.662965312498</v>
      </c>
      <c r="AE290" s="109">
        <f>IFERROR(_xlfn.XLOOKUP($D290,'Modelling New'!$D:$D,'Modelling New'!O:O),"")</f>
        <v>0.72455188248968172</v>
      </c>
      <c r="AF290" s="108">
        <f>IFERROR(_xlfn.XLOOKUP($D290,'Modelling New'!$D:$D,'Modelling New'!W:W),"")</f>
        <v>0.17909286450248987</v>
      </c>
      <c r="AG290" s="108">
        <f>IFERROR(_xlfn.XLOOKUP($D290,'Modelling New'!$D:$D,'Modelling New'!AE:AE),"")</f>
        <v>0.98040000000000005</v>
      </c>
      <c r="AH290" s="128">
        <f>IFERROR(_xlfn.XLOOKUP($D290,'Modelling New'!$D:$D,'Modelling New'!AF:AF),"")</f>
        <v>0.98</v>
      </c>
      <c r="AN290" s="105"/>
      <c r="AO290" s="108"/>
      <c r="AP290" s="108"/>
      <c r="AQ290" s="108"/>
      <c r="AR290" s="101">
        <f>'Basic Data'!$B$98/1000</f>
        <v>8.0208999999999993</v>
      </c>
      <c r="AT290" s="7" t="str">
        <f>IFERROR(_xlfn.XLOOKUP(Table13[[#This Row],[Date]],'Raw Data'!$G:$G,'Raw Data'!$AN:$AN),"")</f>
        <v/>
      </c>
      <c r="AU290" s="7">
        <f>IFERROR(_xlfn.XLOOKUP(Table13[[#This Row],[Month Year]],'Modelling New'!$D:$D,'Modelling New'!$AO:$AO),"")</f>
        <v>8</v>
      </c>
      <c r="AV290" s="7">
        <f>SUMIF('Curtailment Records'!$C:$C,Table13[[#This Row],[Date]],'Curtailment Records'!$R:$R)/1000</f>
        <v>0</v>
      </c>
    </row>
    <row r="291" spans="1:48" x14ac:dyDescent="0.3">
      <c r="A291" s="100">
        <f t="shared" si="19"/>
        <v>46034</v>
      </c>
      <c r="B291" s="101">
        <f>YEAR(Table13[[#This Row],[Date]])+IF(MONTH(Table13[[#This Row],[Date]])&gt;=4,1,0)</f>
        <v>2026</v>
      </c>
      <c r="C291" s="7">
        <f>YEAR(Table13[[#This Row],[Date]])</f>
        <v>2026</v>
      </c>
      <c r="D291" s="102">
        <f>Table13[[#This Row],[Date]]-DAY(Table13[[#This Row],[Date]])+1</f>
        <v>46023</v>
      </c>
      <c r="E291" s="7">
        <f t="shared" si="16"/>
        <v>31</v>
      </c>
      <c r="F291" s="103" t="str">
        <f>IFERROR(_xlfn.XLOOKUP($A291,'Raw Data'!$G:$G,'Raw Data'!$AM:$AM),"")</f>
        <v/>
      </c>
      <c r="G291" s="104" t="str">
        <f>IFERROR(_xlfn.XLOOKUP($A291,'Raw Data'!$G:$G,'Raw Data'!$AB:$AB),"")</f>
        <v/>
      </c>
      <c r="H291" s="104"/>
      <c r="I291" s="104" t="str">
        <f>IFERROR(_xlfn.XLOOKUP($A291,'Raw Data'!$G:$G,'Raw Data'!$AC:$AC),"")</f>
        <v/>
      </c>
      <c r="J291" s="104"/>
      <c r="K291" s="104" t="str">
        <f>IFERROR(_xlfn.XLOOKUP($A291,'Raw Data'!$G:$G,'Raw Data'!AD:AD),"")</f>
        <v/>
      </c>
      <c r="L291" s="104" t="str">
        <f>IFERROR(_xlfn.XLOOKUP($A291,'Raw Data'!$G:$G,'Raw Data'!AE:AE),"")</f>
        <v/>
      </c>
      <c r="M291" s="104" t="str">
        <f>IFERROR(_xlfn.XLOOKUP($A291,'Raw Data'!$G:$G,'Raw Data'!AF:AF),"")</f>
        <v/>
      </c>
      <c r="N291" s="104" t="str">
        <f>IFERROR(_xlfn.XLOOKUP($A291,'Raw Data'!$G:$G,'Raw Data'!AG:AG),"")</f>
        <v/>
      </c>
      <c r="O291" s="105" t="str">
        <f>IFERROR(1-SUMIF('Plant BD'!$B:$B,$A291,'Plant BD'!$AM:$AM)/($AA291+SUMIF('Plant BD'!$B:$B,$A291,'Plant BD'!$AM:$AM)),"")</f>
        <v/>
      </c>
      <c r="P291" s="105"/>
      <c r="Q291" s="106"/>
      <c r="R291" s="105" t="str">
        <f>IFERROR(1-SUMIF('Grid BD'!$B:$B,$A291,'Grid BD'!$AE:$AE)/($AA291+SUMIF('Grid BD'!$B:$B,$A291,'Grid BD'!$AE:$AE)),"")</f>
        <v/>
      </c>
      <c r="T291" s="106"/>
      <c r="U291" s="107" t="str">
        <f t="shared" si="17"/>
        <v/>
      </c>
      <c r="V291" s="107"/>
      <c r="W291" s="108" t="str">
        <f t="shared" si="18"/>
        <v/>
      </c>
      <c r="X291" s="101" t="str">
        <f>IFERROR(_xlfn.XLOOKUP($A291,'Raw Data'!$G:$G,'Raw Data'!AI:AI),"")</f>
        <v/>
      </c>
      <c r="Y291" s="101" t="str">
        <f>IFERROR(_xlfn.XLOOKUP($A291,'Raw Data'!$G:$G,'Raw Data'!AJ:AJ),"")</f>
        <v/>
      </c>
      <c r="Z291" s="101" t="str">
        <f>IFERROR(_xlfn.XLOOKUP($A291,'Raw Data'!$G:$G,'Raw Data'!AK:AK),"")</f>
        <v/>
      </c>
      <c r="AA291" s="101" t="str">
        <f>IFERROR(_xlfn.XLOOKUP($A291,'Raw Data'!$G:$G,'Raw Data'!$AL:$AL)*(1+(_xlfn.XLOOKUP(Table13[[#This Row],[Month Year]],JMR!$A:$A,JMR!$J:$J))),"")</f>
        <v/>
      </c>
      <c r="AB291" s="101" t="str">
        <f>IFERROR(_xlfn.XLOOKUP($A291,'Raw Data'!$G:$G,'Raw Data'!H:H),"")</f>
        <v/>
      </c>
      <c r="AC291" s="67">
        <f>IFERROR(_xlfn.XLOOKUP($D291,'Modelling New'!$D:$D,'Modelling New'!P:P),"")</f>
        <v>5.9322580645161294</v>
      </c>
      <c r="AD291" s="101">
        <f>IFERROR(_xlfn.XLOOKUP($D291,'Modelling New'!$D:$D,'Modelling New'!$T:$T)*1000,"")</f>
        <v>34475.662965312498</v>
      </c>
      <c r="AE291" s="109">
        <f>IFERROR(_xlfn.XLOOKUP($D291,'Modelling New'!$D:$D,'Modelling New'!O:O),"")</f>
        <v>0.72455188248968172</v>
      </c>
      <c r="AF291" s="108">
        <f>IFERROR(_xlfn.XLOOKUP($D291,'Modelling New'!$D:$D,'Modelling New'!W:W),"")</f>
        <v>0.17909286450248987</v>
      </c>
      <c r="AG291" s="108">
        <f>IFERROR(_xlfn.XLOOKUP($D291,'Modelling New'!$D:$D,'Modelling New'!AE:AE),"")</f>
        <v>0.98040000000000005</v>
      </c>
      <c r="AH291" s="128">
        <f>IFERROR(_xlfn.XLOOKUP($D291,'Modelling New'!$D:$D,'Modelling New'!AF:AF),"")</f>
        <v>0.98</v>
      </c>
      <c r="AN291" s="105"/>
      <c r="AO291" s="108"/>
      <c r="AP291" s="108"/>
      <c r="AQ291" s="108"/>
      <c r="AR291" s="101">
        <f>'Basic Data'!$B$98/1000</f>
        <v>8.0208999999999993</v>
      </c>
      <c r="AT291" s="7" t="str">
        <f>IFERROR(_xlfn.XLOOKUP(Table13[[#This Row],[Date]],'Raw Data'!$G:$G,'Raw Data'!$AN:$AN),"")</f>
        <v/>
      </c>
      <c r="AU291" s="7">
        <f>IFERROR(_xlfn.XLOOKUP(Table13[[#This Row],[Month Year]],'Modelling New'!$D:$D,'Modelling New'!$AO:$AO),"")</f>
        <v>8</v>
      </c>
      <c r="AV291" s="7">
        <f>SUMIF('Curtailment Records'!$C:$C,Table13[[#This Row],[Date]],'Curtailment Records'!$R:$R)/1000</f>
        <v>0</v>
      </c>
    </row>
    <row r="292" spans="1:48" x14ac:dyDescent="0.3">
      <c r="A292" s="100">
        <f t="shared" si="19"/>
        <v>46035</v>
      </c>
      <c r="B292" s="101">
        <f>YEAR(Table13[[#This Row],[Date]])+IF(MONTH(Table13[[#This Row],[Date]])&gt;=4,1,0)</f>
        <v>2026</v>
      </c>
      <c r="C292" s="7">
        <f>YEAR(Table13[[#This Row],[Date]])</f>
        <v>2026</v>
      </c>
      <c r="D292" s="102">
        <f>Table13[[#This Row],[Date]]-DAY(Table13[[#This Row],[Date]])+1</f>
        <v>46023</v>
      </c>
      <c r="E292" s="7">
        <f t="shared" si="16"/>
        <v>31</v>
      </c>
      <c r="F292" s="103" t="str">
        <f>IFERROR(_xlfn.XLOOKUP($A292,'Raw Data'!$G:$G,'Raw Data'!$AM:$AM),"")</f>
        <v/>
      </c>
      <c r="G292" s="104" t="str">
        <f>IFERROR(_xlfn.XLOOKUP($A292,'Raw Data'!$G:$G,'Raw Data'!$AB:$AB),"")</f>
        <v/>
      </c>
      <c r="H292" s="104"/>
      <c r="I292" s="104" t="str">
        <f>IFERROR(_xlfn.XLOOKUP($A292,'Raw Data'!$G:$G,'Raw Data'!$AC:$AC),"")</f>
        <v/>
      </c>
      <c r="J292" s="104"/>
      <c r="K292" s="104" t="str">
        <f>IFERROR(_xlfn.XLOOKUP($A292,'Raw Data'!$G:$G,'Raw Data'!AD:AD),"")</f>
        <v/>
      </c>
      <c r="L292" s="104" t="str">
        <f>IFERROR(_xlfn.XLOOKUP($A292,'Raw Data'!$G:$G,'Raw Data'!AE:AE),"")</f>
        <v/>
      </c>
      <c r="M292" s="104" t="str">
        <f>IFERROR(_xlfn.XLOOKUP($A292,'Raw Data'!$G:$G,'Raw Data'!AF:AF),"")</f>
        <v/>
      </c>
      <c r="N292" s="104" t="str">
        <f>IFERROR(_xlfn.XLOOKUP($A292,'Raw Data'!$G:$G,'Raw Data'!AG:AG),"")</f>
        <v/>
      </c>
      <c r="O292" s="105" t="str">
        <f>IFERROR(1-SUMIF('Plant BD'!$B:$B,$A292,'Plant BD'!$AM:$AM)/($AA292+SUMIF('Plant BD'!$B:$B,$A292,'Plant BD'!$AM:$AM)),"")</f>
        <v/>
      </c>
      <c r="P292" s="105"/>
      <c r="Q292" s="106"/>
      <c r="R292" s="105" t="str">
        <f>IFERROR(1-SUMIF('Grid BD'!$B:$B,$A292,'Grid BD'!$AE:$AE)/($AA292+SUMIF('Grid BD'!$B:$B,$A292,'Grid BD'!$AE:$AE)),"")</f>
        <v/>
      </c>
      <c r="T292" s="106"/>
      <c r="U292" s="107" t="str">
        <f t="shared" si="17"/>
        <v/>
      </c>
      <c r="V292" s="107"/>
      <c r="W292" s="108" t="str">
        <f t="shared" si="18"/>
        <v/>
      </c>
      <c r="X292" s="101" t="str">
        <f>IFERROR(_xlfn.XLOOKUP($A292,'Raw Data'!$G:$G,'Raw Data'!AI:AI),"")</f>
        <v/>
      </c>
      <c r="Y292" s="101" t="str">
        <f>IFERROR(_xlfn.XLOOKUP($A292,'Raw Data'!$G:$G,'Raw Data'!AJ:AJ),"")</f>
        <v/>
      </c>
      <c r="Z292" s="101" t="str">
        <f>IFERROR(_xlfn.XLOOKUP($A292,'Raw Data'!$G:$G,'Raw Data'!AK:AK),"")</f>
        <v/>
      </c>
      <c r="AA292" s="101" t="str">
        <f>IFERROR(_xlfn.XLOOKUP($A292,'Raw Data'!$G:$G,'Raw Data'!$AL:$AL)*(1+(_xlfn.XLOOKUP(Table13[[#This Row],[Month Year]],JMR!$A:$A,JMR!$J:$J))),"")</f>
        <v/>
      </c>
      <c r="AB292" s="101" t="str">
        <f>IFERROR(_xlfn.XLOOKUP($A292,'Raw Data'!$G:$G,'Raw Data'!H:H),"")</f>
        <v/>
      </c>
      <c r="AC292" s="67">
        <f>IFERROR(_xlfn.XLOOKUP($D292,'Modelling New'!$D:$D,'Modelling New'!P:P),"")</f>
        <v>5.9322580645161294</v>
      </c>
      <c r="AD292" s="101">
        <f>IFERROR(_xlfn.XLOOKUP($D292,'Modelling New'!$D:$D,'Modelling New'!$T:$T)*1000,"")</f>
        <v>34475.662965312498</v>
      </c>
      <c r="AE292" s="109">
        <f>IFERROR(_xlfn.XLOOKUP($D292,'Modelling New'!$D:$D,'Modelling New'!O:O),"")</f>
        <v>0.72455188248968172</v>
      </c>
      <c r="AF292" s="108">
        <f>IFERROR(_xlfn.XLOOKUP($D292,'Modelling New'!$D:$D,'Modelling New'!W:W),"")</f>
        <v>0.17909286450248987</v>
      </c>
      <c r="AG292" s="108">
        <f>IFERROR(_xlfn.XLOOKUP($D292,'Modelling New'!$D:$D,'Modelling New'!AE:AE),"")</f>
        <v>0.98040000000000005</v>
      </c>
      <c r="AH292" s="128">
        <f>IFERROR(_xlfn.XLOOKUP($D292,'Modelling New'!$D:$D,'Modelling New'!AF:AF),"")</f>
        <v>0.98</v>
      </c>
      <c r="AN292" s="105"/>
      <c r="AO292" s="108"/>
      <c r="AP292" s="108"/>
      <c r="AQ292" s="108"/>
      <c r="AR292" s="101">
        <f>'Basic Data'!$B$98/1000</f>
        <v>8.0208999999999993</v>
      </c>
      <c r="AT292" s="7" t="str">
        <f>IFERROR(_xlfn.XLOOKUP(Table13[[#This Row],[Date]],'Raw Data'!$G:$G,'Raw Data'!$AN:$AN),"")</f>
        <v/>
      </c>
      <c r="AU292" s="7">
        <f>IFERROR(_xlfn.XLOOKUP(Table13[[#This Row],[Month Year]],'Modelling New'!$D:$D,'Modelling New'!$AO:$AO),"")</f>
        <v>8</v>
      </c>
      <c r="AV292" s="7">
        <f>SUMIF('Curtailment Records'!$C:$C,Table13[[#This Row],[Date]],'Curtailment Records'!$R:$R)/1000</f>
        <v>0</v>
      </c>
    </row>
    <row r="293" spans="1:48" x14ac:dyDescent="0.3">
      <c r="A293" s="100">
        <f t="shared" si="19"/>
        <v>46036</v>
      </c>
      <c r="B293" s="101">
        <f>YEAR(Table13[[#This Row],[Date]])+IF(MONTH(Table13[[#This Row],[Date]])&gt;=4,1,0)</f>
        <v>2026</v>
      </c>
      <c r="C293" s="7">
        <f>YEAR(Table13[[#This Row],[Date]])</f>
        <v>2026</v>
      </c>
      <c r="D293" s="102">
        <f>Table13[[#This Row],[Date]]-DAY(Table13[[#This Row],[Date]])+1</f>
        <v>46023</v>
      </c>
      <c r="E293" s="7">
        <f t="shared" si="16"/>
        <v>31</v>
      </c>
      <c r="F293" s="103" t="str">
        <f>IFERROR(_xlfn.XLOOKUP($A293,'Raw Data'!$G:$G,'Raw Data'!$AM:$AM),"")</f>
        <v/>
      </c>
      <c r="G293" s="104" t="str">
        <f>IFERROR(_xlfn.XLOOKUP($A293,'Raw Data'!$G:$G,'Raw Data'!$AB:$AB),"")</f>
        <v/>
      </c>
      <c r="H293" s="104"/>
      <c r="I293" s="104" t="str">
        <f>IFERROR(_xlfn.XLOOKUP($A293,'Raw Data'!$G:$G,'Raw Data'!$AC:$AC),"")</f>
        <v/>
      </c>
      <c r="J293" s="104"/>
      <c r="K293" s="104" t="str">
        <f>IFERROR(_xlfn.XLOOKUP($A293,'Raw Data'!$G:$G,'Raw Data'!AD:AD),"")</f>
        <v/>
      </c>
      <c r="L293" s="104" t="str">
        <f>IFERROR(_xlfn.XLOOKUP($A293,'Raw Data'!$G:$G,'Raw Data'!AE:AE),"")</f>
        <v/>
      </c>
      <c r="M293" s="104" t="str">
        <f>IFERROR(_xlfn.XLOOKUP($A293,'Raw Data'!$G:$G,'Raw Data'!AF:AF),"")</f>
        <v/>
      </c>
      <c r="N293" s="104" t="str">
        <f>IFERROR(_xlfn.XLOOKUP($A293,'Raw Data'!$G:$G,'Raw Data'!AG:AG),"")</f>
        <v/>
      </c>
      <c r="O293" s="105" t="str">
        <f>IFERROR(1-SUMIF('Plant BD'!$B:$B,$A293,'Plant BD'!$AM:$AM)/($AA293+SUMIF('Plant BD'!$B:$B,$A293,'Plant BD'!$AM:$AM)),"")</f>
        <v/>
      </c>
      <c r="P293" s="105"/>
      <c r="Q293" s="106"/>
      <c r="R293" s="105" t="str">
        <f>IFERROR(1-SUMIF('Grid BD'!$B:$B,$A293,'Grid BD'!$AE:$AE)/($AA293+SUMIF('Grid BD'!$B:$B,$A293,'Grid BD'!$AE:$AE)),"")</f>
        <v/>
      </c>
      <c r="T293" s="106"/>
      <c r="U293" s="107" t="str">
        <f t="shared" si="17"/>
        <v/>
      </c>
      <c r="V293" s="107"/>
      <c r="W293" s="108" t="str">
        <f t="shared" si="18"/>
        <v/>
      </c>
      <c r="X293" s="101" t="str">
        <f>IFERROR(_xlfn.XLOOKUP($A293,'Raw Data'!$G:$G,'Raw Data'!AI:AI),"")</f>
        <v/>
      </c>
      <c r="Y293" s="101" t="str">
        <f>IFERROR(_xlfn.XLOOKUP($A293,'Raw Data'!$G:$G,'Raw Data'!AJ:AJ),"")</f>
        <v/>
      </c>
      <c r="Z293" s="101" t="str">
        <f>IFERROR(_xlfn.XLOOKUP($A293,'Raw Data'!$G:$G,'Raw Data'!AK:AK),"")</f>
        <v/>
      </c>
      <c r="AA293" s="101" t="str">
        <f>IFERROR(_xlfn.XLOOKUP($A293,'Raw Data'!$G:$G,'Raw Data'!$AL:$AL)*(1+(_xlfn.XLOOKUP(Table13[[#This Row],[Month Year]],JMR!$A:$A,JMR!$J:$J))),"")</f>
        <v/>
      </c>
      <c r="AB293" s="101" t="str">
        <f>IFERROR(_xlfn.XLOOKUP($A293,'Raw Data'!$G:$G,'Raw Data'!H:H),"")</f>
        <v/>
      </c>
      <c r="AC293" s="67">
        <f>IFERROR(_xlfn.XLOOKUP($D293,'Modelling New'!$D:$D,'Modelling New'!P:P),"")</f>
        <v>5.9322580645161294</v>
      </c>
      <c r="AD293" s="101">
        <f>IFERROR(_xlfn.XLOOKUP($D293,'Modelling New'!$D:$D,'Modelling New'!$T:$T)*1000,"")</f>
        <v>34475.662965312498</v>
      </c>
      <c r="AE293" s="109">
        <f>IFERROR(_xlfn.XLOOKUP($D293,'Modelling New'!$D:$D,'Modelling New'!O:O),"")</f>
        <v>0.72455188248968172</v>
      </c>
      <c r="AF293" s="108">
        <f>IFERROR(_xlfn.XLOOKUP($D293,'Modelling New'!$D:$D,'Modelling New'!W:W),"")</f>
        <v>0.17909286450248987</v>
      </c>
      <c r="AG293" s="108">
        <f>IFERROR(_xlfn.XLOOKUP($D293,'Modelling New'!$D:$D,'Modelling New'!AE:AE),"")</f>
        <v>0.98040000000000005</v>
      </c>
      <c r="AH293" s="128">
        <f>IFERROR(_xlfn.XLOOKUP($D293,'Modelling New'!$D:$D,'Modelling New'!AF:AF),"")</f>
        <v>0.98</v>
      </c>
      <c r="AN293" s="105"/>
      <c r="AO293" s="108"/>
      <c r="AP293" s="108"/>
      <c r="AQ293" s="108"/>
      <c r="AR293" s="101">
        <f>'Basic Data'!$B$98/1000</f>
        <v>8.0208999999999993</v>
      </c>
      <c r="AT293" s="7" t="str">
        <f>IFERROR(_xlfn.XLOOKUP(Table13[[#This Row],[Date]],'Raw Data'!$G:$G,'Raw Data'!$AN:$AN),"")</f>
        <v/>
      </c>
      <c r="AU293" s="7">
        <f>IFERROR(_xlfn.XLOOKUP(Table13[[#This Row],[Month Year]],'Modelling New'!$D:$D,'Modelling New'!$AO:$AO),"")</f>
        <v>8</v>
      </c>
      <c r="AV293" s="7">
        <f>SUMIF('Curtailment Records'!$C:$C,Table13[[#This Row],[Date]],'Curtailment Records'!$R:$R)/1000</f>
        <v>0</v>
      </c>
    </row>
    <row r="294" spans="1:48" x14ac:dyDescent="0.3">
      <c r="A294" s="100">
        <f t="shared" si="19"/>
        <v>46037</v>
      </c>
      <c r="B294" s="101">
        <f>YEAR(Table13[[#This Row],[Date]])+IF(MONTH(Table13[[#This Row],[Date]])&gt;=4,1,0)</f>
        <v>2026</v>
      </c>
      <c r="C294" s="7">
        <f>YEAR(Table13[[#This Row],[Date]])</f>
        <v>2026</v>
      </c>
      <c r="D294" s="102">
        <f>Table13[[#This Row],[Date]]-DAY(Table13[[#This Row],[Date]])+1</f>
        <v>46023</v>
      </c>
      <c r="E294" s="7">
        <f t="shared" si="16"/>
        <v>31</v>
      </c>
      <c r="F294" s="103" t="str">
        <f>IFERROR(_xlfn.XLOOKUP($A294,'Raw Data'!$G:$G,'Raw Data'!$AM:$AM),"")</f>
        <v/>
      </c>
      <c r="G294" s="104" t="str">
        <f>IFERROR(_xlfn.XLOOKUP($A294,'Raw Data'!$G:$G,'Raw Data'!$AB:$AB),"")</f>
        <v/>
      </c>
      <c r="H294" s="104"/>
      <c r="I294" s="104" t="str">
        <f>IFERROR(_xlfn.XLOOKUP($A294,'Raw Data'!$G:$G,'Raw Data'!$AC:$AC),"")</f>
        <v/>
      </c>
      <c r="J294" s="104"/>
      <c r="K294" s="104" t="str">
        <f>IFERROR(_xlfn.XLOOKUP($A294,'Raw Data'!$G:$G,'Raw Data'!AD:AD),"")</f>
        <v/>
      </c>
      <c r="L294" s="104" t="str">
        <f>IFERROR(_xlfn.XLOOKUP($A294,'Raw Data'!$G:$G,'Raw Data'!AE:AE),"")</f>
        <v/>
      </c>
      <c r="M294" s="104" t="str">
        <f>IFERROR(_xlfn.XLOOKUP($A294,'Raw Data'!$G:$G,'Raw Data'!AF:AF),"")</f>
        <v/>
      </c>
      <c r="N294" s="104" t="str">
        <f>IFERROR(_xlfn.XLOOKUP($A294,'Raw Data'!$G:$G,'Raw Data'!AG:AG),"")</f>
        <v/>
      </c>
      <c r="O294" s="105" t="str">
        <f>IFERROR(1-SUMIF('Plant BD'!$B:$B,$A294,'Plant BD'!$AM:$AM)/($AA294+SUMIF('Plant BD'!$B:$B,$A294,'Plant BD'!$AM:$AM)),"")</f>
        <v/>
      </c>
      <c r="P294" s="105"/>
      <c r="Q294" s="106"/>
      <c r="R294" s="105" t="str">
        <f>IFERROR(1-SUMIF('Grid BD'!$B:$B,$A294,'Grid BD'!$AE:$AE)/($AA294+SUMIF('Grid BD'!$B:$B,$A294,'Grid BD'!$AE:$AE)),"")</f>
        <v/>
      </c>
      <c r="T294" s="106"/>
      <c r="U294" s="107" t="str">
        <f t="shared" si="17"/>
        <v/>
      </c>
      <c r="V294" s="107"/>
      <c r="W294" s="108" t="str">
        <f t="shared" si="18"/>
        <v/>
      </c>
      <c r="X294" s="101" t="str">
        <f>IFERROR(_xlfn.XLOOKUP($A294,'Raw Data'!$G:$G,'Raw Data'!AI:AI),"")</f>
        <v/>
      </c>
      <c r="Y294" s="101" t="str">
        <f>IFERROR(_xlfn.XLOOKUP($A294,'Raw Data'!$G:$G,'Raw Data'!AJ:AJ),"")</f>
        <v/>
      </c>
      <c r="Z294" s="101" t="str">
        <f>IFERROR(_xlfn.XLOOKUP($A294,'Raw Data'!$G:$G,'Raw Data'!AK:AK),"")</f>
        <v/>
      </c>
      <c r="AA294" s="101" t="str">
        <f>IFERROR(_xlfn.XLOOKUP($A294,'Raw Data'!$G:$G,'Raw Data'!$AL:$AL)*(1+(_xlfn.XLOOKUP(Table13[[#This Row],[Month Year]],JMR!$A:$A,JMR!$J:$J))),"")</f>
        <v/>
      </c>
      <c r="AB294" s="101" t="str">
        <f>IFERROR(_xlfn.XLOOKUP($A294,'Raw Data'!$G:$G,'Raw Data'!H:H),"")</f>
        <v/>
      </c>
      <c r="AC294" s="67">
        <f>IFERROR(_xlfn.XLOOKUP($D294,'Modelling New'!$D:$D,'Modelling New'!P:P),"")</f>
        <v>5.9322580645161294</v>
      </c>
      <c r="AD294" s="101">
        <f>IFERROR(_xlfn.XLOOKUP($D294,'Modelling New'!$D:$D,'Modelling New'!$T:$T)*1000,"")</f>
        <v>34475.662965312498</v>
      </c>
      <c r="AE294" s="109">
        <f>IFERROR(_xlfn.XLOOKUP($D294,'Modelling New'!$D:$D,'Modelling New'!O:O),"")</f>
        <v>0.72455188248968172</v>
      </c>
      <c r="AF294" s="108">
        <f>IFERROR(_xlfn.XLOOKUP($D294,'Modelling New'!$D:$D,'Modelling New'!W:W),"")</f>
        <v>0.17909286450248987</v>
      </c>
      <c r="AG294" s="108">
        <f>IFERROR(_xlfn.XLOOKUP($D294,'Modelling New'!$D:$D,'Modelling New'!AE:AE),"")</f>
        <v>0.98040000000000005</v>
      </c>
      <c r="AH294" s="128">
        <f>IFERROR(_xlfn.XLOOKUP($D294,'Modelling New'!$D:$D,'Modelling New'!AF:AF),"")</f>
        <v>0.98</v>
      </c>
      <c r="AN294" s="105"/>
      <c r="AO294" s="108"/>
      <c r="AP294" s="108"/>
      <c r="AQ294" s="108"/>
      <c r="AR294" s="101">
        <f>'Basic Data'!$B$98/1000</f>
        <v>8.0208999999999993</v>
      </c>
      <c r="AT294" s="7" t="str">
        <f>IFERROR(_xlfn.XLOOKUP(Table13[[#This Row],[Date]],'Raw Data'!$G:$G,'Raw Data'!$AN:$AN),"")</f>
        <v/>
      </c>
      <c r="AU294" s="7">
        <f>IFERROR(_xlfn.XLOOKUP(Table13[[#This Row],[Month Year]],'Modelling New'!$D:$D,'Modelling New'!$AO:$AO),"")</f>
        <v>8</v>
      </c>
      <c r="AV294" s="7">
        <f>SUMIF('Curtailment Records'!$C:$C,Table13[[#This Row],[Date]],'Curtailment Records'!$R:$R)/1000</f>
        <v>0</v>
      </c>
    </row>
    <row r="295" spans="1:48" x14ac:dyDescent="0.3">
      <c r="A295" s="100">
        <f t="shared" si="19"/>
        <v>46038</v>
      </c>
      <c r="B295" s="101">
        <f>YEAR(Table13[[#This Row],[Date]])+IF(MONTH(Table13[[#This Row],[Date]])&gt;=4,1,0)</f>
        <v>2026</v>
      </c>
      <c r="C295" s="7">
        <f>YEAR(Table13[[#This Row],[Date]])</f>
        <v>2026</v>
      </c>
      <c r="D295" s="102">
        <f>Table13[[#This Row],[Date]]-DAY(Table13[[#This Row],[Date]])+1</f>
        <v>46023</v>
      </c>
      <c r="E295" s="7">
        <f t="shared" si="16"/>
        <v>31</v>
      </c>
      <c r="F295" s="103" t="str">
        <f>IFERROR(_xlfn.XLOOKUP($A295,'Raw Data'!$G:$G,'Raw Data'!$AM:$AM),"")</f>
        <v/>
      </c>
      <c r="G295" s="104" t="str">
        <f>IFERROR(_xlfn.XLOOKUP($A295,'Raw Data'!$G:$G,'Raw Data'!$AB:$AB),"")</f>
        <v/>
      </c>
      <c r="H295" s="104"/>
      <c r="I295" s="104" t="str">
        <f>IFERROR(_xlfn.XLOOKUP($A295,'Raw Data'!$G:$G,'Raw Data'!$AC:$AC),"")</f>
        <v/>
      </c>
      <c r="J295" s="104"/>
      <c r="K295" s="104" t="str">
        <f>IFERROR(_xlfn.XLOOKUP($A295,'Raw Data'!$G:$G,'Raw Data'!AD:AD),"")</f>
        <v/>
      </c>
      <c r="L295" s="104" t="str">
        <f>IFERROR(_xlfn.XLOOKUP($A295,'Raw Data'!$G:$G,'Raw Data'!AE:AE),"")</f>
        <v/>
      </c>
      <c r="M295" s="104" t="str">
        <f>IFERROR(_xlfn.XLOOKUP($A295,'Raw Data'!$G:$G,'Raw Data'!AF:AF),"")</f>
        <v/>
      </c>
      <c r="N295" s="104" t="str">
        <f>IFERROR(_xlfn.XLOOKUP($A295,'Raw Data'!$G:$G,'Raw Data'!AG:AG),"")</f>
        <v/>
      </c>
      <c r="O295" s="105" t="str">
        <f>IFERROR(1-SUMIF('Plant BD'!$B:$B,$A295,'Plant BD'!$AM:$AM)/($AA295+SUMIF('Plant BD'!$B:$B,$A295,'Plant BD'!$AM:$AM)),"")</f>
        <v/>
      </c>
      <c r="P295" s="105"/>
      <c r="Q295" s="106"/>
      <c r="R295" s="105" t="str">
        <f>IFERROR(1-SUMIF('Grid BD'!$B:$B,$A295,'Grid BD'!$AE:$AE)/($AA295+SUMIF('Grid BD'!$B:$B,$A295,'Grid BD'!$AE:$AE)),"")</f>
        <v/>
      </c>
      <c r="T295" s="106"/>
      <c r="U295" s="107" t="str">
        <f t="shared" si="17"/>
        <v/>
      </c>
      <c r="V295" s="107"/>
      <c r="W295" s="108" t="str">
        <f t="shared" si="18"/>
        <v/>
      </c>
      <c r="X295" s="101" t="str">
        <f>IFERROR(_xlfn.XLOOKUP($A295,'Raw Data'!$G:$G,'Raw Data'!AI:AI),"")</f>
        <v/>
      </c>
      <c r="Y295" s="101" t="str">
        <f>IFERROR(_xlfn.XLOOKUP($A295,'Raw Data'!$G:$G,'Raw Data'!AJ:AJ),"")</f>
        <v/>
      </c>
      <c r="Z295" s="101" t="str">
        <f>IFERROR(_xlfn.XLOOKUP($A295,'Raw Data'!$G:$G,'Raw Data'!AK:AK),"")</f>
        <v/>
      </c>
      <c r="AA295" s="101" t="str">
        <f>IFERROR(_xlfn.XLOOKUP($A295,'Raw Data'!$G:$G,'Raw Data'!$AL:$AL)*(1+(_xlfn.XLOOKUP(Table13[[#This Row],[Month Year]],JMR!$A:$A,JMR!$J:$J))),"")</f>
        <v/>
      </c>
      <c r="AB295" s="101" t="str">
        <f>IFERROR(_xlfn.XLOOKUP($A295,'Raw Data'!$G:$G,'Raw Data'!H:H),"")</f>
        <v/>
      </c>
      <c r="AC295" s="67">
        <f>IFERROR(_xlfn.XLOOKUP($D295,'Modelling New'!$D:$D,'Modelling New'!P:P),"")</f>
        <v>5.9322580645161294</v>
      </c>
      <c r="AD295" s="101">
        <f>IFERROR(_xlfn.XLOOKUP($D295,'Modelling New'!$D:$D,'Modelling New'!$T:$T)*1000,"")</f>
        <v>34475.662965312498</v>
      </c>
      <c r="AE295" s="109">
        <f>IFERROR(_xlfn.XLOOKUP($D295,'Modelling New'!$D:$D,'Modelling New'!O:O),"")</f>
        <v>0.72455188248968172</v>
      </c>
      <c r="AF295" s="108">
        <f>IFERROR(_xlfn.XLOOKUP($D295,'Modelling New'!$D:$D,'Modelling New'!W:W),"")</f>
        <v>0.17909286450248987</v>
      </c>
      <c r="AG295" s="108">
        <f>IFERROR(_xlfn.XLOOKUP($D295,'Modelling New'!$D:$D,'Modelling New'!AE:AE),"")</f>
        <v>0.98040000000000005</v>
      </c>
      <c r="AH295" s="128">
        <f>IFERROR(_xlfn.XLOOKUP($D295,'Modelling New'!$D:$D,'Modelling New'!AF:AF),"")</f>
        <v>0.98</v>
      </c>
      <c r="AN295" s="105"/>
      <c r="AO295" s="108"/>
      <c r="AP295" s="108"/>
      <c r="AQ295" s="108"/>
      <c r="AR295" s="101">
        <f>'Basic Data'!$B$98/1000</f>
        <v>8.0208999999999993</v>
      </c>
      <c r="AT295" s="7" t="str">
        <f>IFERROR(_xlfn.XLOOKUP(Table13[[#This Row],[Date]],'Raw Data'!$G:$G,'Raw Data'!$AN:$AN),"")</f>
        <v/>
      </c>
      <c r="AU295" s="7">
        <f>IFERROR(_xlfn.XLOOKUP(Table13[[#This Row],[Month Year]],'Modelling New'!$D:$D,'Modelling New'!$AO:$AO),"")</f>
        <v>8</v>
      </c>
      <c r="AV295" s="7">
        <f>SUMIF('Curtailment Records'!$C:$C,Table13[[#This Row],[Date]],'Curtailment Records'!$R:$R)/1000</f>
        <v>0</v>
      </c>
    </row>
    <row r="296" spans="1:48" x14ac:dyDescent="0.3">
      <c r="A296" s="100">
        <f t="shared" si="19"/>
        <v>46039</v>
      </c>
      <c r="B296" s="101">
        <f>YEAR(Table13[[#This Row],[Date]])+IF(MONTH(Table13[[#This Row],[Date]])&gt;=4,1,0)</f>
        <v>2026</v>
      </c>
      <c r="C296" s="7">
        <f>YEAR(Table13[[#This Row],[Date]])</f>
        <v>2026</v>
      </c>
      <c r="D296" s="102">
        <f>Table13[[#This Row],[Date]]-DAY(Table13[[#This Row],[Date]])+1</f>
        <v>46023</v>
      </c>
      <c r="E296" s="7">
        <f t="shared" si="16"/>
        <v>31</v>
      </c>
      <c r="F296" s="103" t="str">
        <f>IFERROR(_xlfn.XLOOKUP($A296,'Raw Data'!$G:$G,'Raw Data'!$AM:$AM),"")</f>
        <v/>
      </c>
      <c r="G296" s="104" t="str">
        <f>IFERROR(_xlfn.XLOOKUP($A296,'Raw Data'!$G:$G,'Raw Data'!$AB:$AB),"")</f>
        <v/>
      </c>
      <c r="H296" s="104"/>
      <c r="I296" s="104" t="str">
        <f>IFERROR(_xlfn.XLOOKUP($A296,'Raw Data'!$G:$G,'Raw Data'!$AC:$AC),"")</f>
        <v/>
      </c>
      <c r="J296" s="104"/>
      <c r="K296" s="104" t="str">
        <f>IFERROR(_xlfn.XLOOKUP($A296,'Raw Data'!$G:$G,'Raw Data'!AD:AD),"")</f>
        <v/>
      </c>
      <c r="L296" s="104" t="str">
        <f>IFERROR(_xlfn.XLOOKUP($A296,'Raw Data'!$G:$G,'Raw Data'!AE:AE),"")</f>
        <v/>
      </c>
      <c r="M296" s="104" t="str">
        <f>IFERROR(_xlfn.XLOOKUP($A296,'Raw Data'!$G:$G,'Raw Data'!AF:AF),"")</f>
        <v/>
      </c>
      <c r="N296" s="104" t="str">
        <f>IFERROR(_xlfn.XLOOKUP($A296,'Raw Data'!$G:$G,'Raw Data'!AG:AG),"")</f>
        <v/>
      </c>
      <c r="O296" s="105" t="str">
        <f>IFERROR(1-SUMIF('Plant BD'!$B:$B,$A296,'Plant BD'!$AM:$AM)/($AA296+SUMIF('Plant BD'!$B:$B,$A296,'Plant BD'!$AM:$AM)),"")</f>
        <v/>
      </c>
      <c r="P296" s="105"/>
      <c r="Q296" s="106"/>
      <c r="R296" s="105" t="str">
        <f>IFERROR(1-SUMIF('Grid BD'!$B:$B,$A296,'Grid BD'!$AE:$AE)/($AA296+SUMIF('Grid BD'!$B:$B,$A296,'Grid BD'!$AE:$AE)),"")</f>
        <v/>
      </c>
      <c r="T296" s="106"/>
      <c r="U296" s="107" t="str">
        <f t="shared" si="17"/>
        <v/>
      </c>
      <c r="V296" s="107"/>
      <c r="W296" s="108" t="str">
        <f t="shared" si="18"/>
        <v/>
      </c>
      <c r="X296" s="101" t="str">
        <f>IFERROR(_xlfn.XLOOKUP($A296,'Raw Data'!$G:$G,'Raw Data'!AI:AI),"")</f>
        <v/>
      </c>
      <c r="Y296" s="101" t="str">
        <f>IFERROR(_xlfn.XLOOKUP($A296,'Raw Data'!$G:$G,'Raw Data'!AJ:AJ),"")</f>
        <v/>
      </c>
      <c r="Z296" s="101" t="str">
        <f>IFERROR(_xlfn.XLOOKUP($A296,'Raw Data'!$G:$G,'Raw Data'!AK:AK),"")</f>
        <v/>
      </c>
      <c r="AA296" s="101" t="str">
        <f>IFERROR(_xlfn.XLOOKUP($A296,'Raw Data'!$G:$G,'Raw Data'!$AL:$AL)*(1+(_xlfn.XLOOKUP(Table13[[#This Row],[Month Year]],JMR!$A:$A,JMR!$J:$J))),"")</f>
        <v/>
      </c>
      <c r="AB296" s="101" t="str">
        <f>IFERROR(_xlfn.XLOOKUP($A296,'Raw Data'!$G:$G,'Raw Data'!H:H),"")</f>
        <v/>
      </c>
      <c r="AC296" s="67">
        <f>IFERROR(_xlfn.XLOOKUP($D296,'Modelling New'!$D:$D,'Modelling New'!P:P),"")</f>
        <v>5.9322580645161294</v>
      </c>
      <c r="AD296" s="101">
        <f>IFERROR(_xlfn.XLOOKUP($D296,'Modelling New'!$D:$D,'Modelling New'!$T:$T)*1000,"")</f>
        <v>34475.662965312498</v>
      </c>
      <c r="AE296" s="109">
        <f>IFERROR(_xlfn.XLOOKUP($D296,'Modelling New'!$D:$D,'Modelling New'!O:O),"")</f>
        <v>0.72455188248968172</v>
      </c>
      <c r="AF296" s="108">
        <f>IFERROR(_xlfn.XLOOKUP($D296,'Modelling New'!$D:$D,'Modelling New'!W:W),"")</f>
        <v>0.17909286450248987</v>
      </c>
      <c r="AG296" s="108">
        <f>IFERROR(_xlfn.XLOOKUP($D296,'Modelling New'!$D:$D,'Modelling New'!AE:AE),"")</f>
        <v>0.98040000000000005</v>
      </c>
      <c r="AH296" s="128">
        <f>IFERROR(_xlfn.XLOOKUP($D296,'Modelling New'!$D:$D,'Modelling New'!AF:AF),"")</f>
        <v>0.98</v>
      </c>
      <c r="AN296" s="105"/>
      <c r="AO296" s="108"/>
      <c r="AP296" s="108"/>
      <c r="AQ296" s="108"/>
      <c r="AR296" s="101">
        <f>'Basic Data'!$B$98/1000</f>
        <v>8.0208999999999993</v>
      </c>
      <c r="AT296" s="7" t="str">
        <f>IFERROR(_xlfn.XLOOKUP(Table13[[#This Row],[Date]],'Raw Data'!$G:$G,'Raw Data'!$AN:$AN),"")</f>
        <v/>
      </c>
      <c r="AU296" s="7">
        <f>IFERROR(_xlfn.XLOOKUP(Table13[[#This Row],[Month Year]],'Modelling New'!$D:$D,'Modelling New'!$AO:$AO),"")</f>
        <v>8</v>
      </c>
      <c r="AV296" s="7">
        <f>SUMIF('Curtailment Records'!$C:$C,Table13[[#This Row],[Date]],'Curtailment Records'!$R:$R)/1000</f>
        <v>0</v>
      </c>
    </row>
    <row r="297" spans="1:48" x14ac:dyDescent="0.3">
      <c r="A297" s="100">
        <f t="shared" si="19"/>
        <v>46040</v>
      </c>
      <c r="B297" s="101">
        <f>YEAR(Table13[[#This Row],[Date]])+IF(MONTH(Table13[[#This Row],[Date]])&gt;=4,1,0)</f>
        <v>2026</v>
      </c>
      <c r="C297" s="7">
        <f>YEAR(Table13[[#This Row],[Date]])</f>
        <v>2026</v>
      </c>
      <c r="D297" s="102">
        <f>Table13[[#This Row],[Date]]-DAY(Table13[[#This Row],[Date]])+1</f>
        <v>46023</v>
      </c>
      <c r="E297" s="7">
        <f t="shared" si="16"/>
        <v>31</v>
      </c>
      <c r="F297" s="103" t="str">
        <f>IFERROR(_xlfn.XLOOKUP($A297,'Raw Data'!$G:$G,'Raw Data'!$AM:$AM),"")</f>
        <v/>
      </c>
      <c r="G297" s="104" t="str">
        <f>IFERROR(_xlfn.XLOOKUP($A297,'Raw Data'!$G:$G,'Raw Data'!$AB:$AB),"")</f>
        <v/>
      </c>
      <c r="H297" s="104"/>
      <c r="I297" s="104" t="str">
        <f>IFERROR(_xlfn.XLOOKUP($A297,'Raw Data'!$G:$G,'Raw Data'!$AC:$AC),"")</f>
        <v/>
      </c>
      <c r="J297" s="104"/>
      <c r="K297" s="104" t="str">
        <f>IFERROR(_xlfn.XLOOKUP($A297,'Raw Data'!$G:$G,'Raw Data'!AD:AD),"")</f>
        <v/>
      </c>
      <c r="L297" s="104" t="str">
        <f>IFERROR(_xlfn.XLOOKUP($A297,'Raw Data'!$G:$G,'Raw Data'!AE:AE),"")</f>
        <v/>
      </c>
      <c r="M297" s="104" t="str">
        <f>IFERROR(_xlfn.XLOOKUP($A297,'Raw Data'!$G:$G,'Raw Data'!AF:AF),"")</f>
        <v/>
      </c>
      <c r="N297" s="104" t="str">
        <f>IFERROR(_xlfn.XLOOKUP($A297,'Raw Data'!$G:$G,'Raw Data'!AG:AG),"")</f>
        <v/>
      </c>
      <c r="O297" s="105" t="str">
        <f>IFERROR(1-SUMIF('Plant BD'!$B:$B,$A297,'Plant BD'!$AM:$AM)/($AA297+SUMIF('Plant BD'!$B:$B,$A297,'Plant BD'!$AM:$AM)),"")</f>
        <v/>
      </c>
      <c r="P297" s="105"/>
      <c r="Q297" s="106"/>
      <c r="R297" s="105" t="str">
        <f>IFERROR(1-SUMIF('Grid BD'!$B:$B,$A297,'Grid BD'!$AE:$AE)/($AA297+SUMIF('Grid BD'!$B:$B,$A297,'Grid BD'!$AE:$AE)),"")</f>
        <v/>
      </c>
      <c r="T297" s="106"/>
      <c r="U297" s="107" t="str">
        <f t="shared" si="17"/>
        <v/>
      </c>
      <c r="V297" s="107"/>
      <c r="W297" s="108" t="str">
        <f t="shared" si="18"/>
        <v/>
      </c>
      <c r="X297" s="101" t="str">
        <f>IFERROR(_xlfn.XLOOKUP($A297,'Raw Data'!$G:$G,'Raw Data'!AI:AI),"")</f>
        <v/>
      </c>
      <c r="Y297" s="101" t="str">
        <f>IFERROR(_xlfn.XLOOKUP($A297,'Raw Data'!$G:$G,'Raw Data'!AJ:AJ),"")</f>
        <v/>
      </c>
      <c r="Z297" s="101" t="str">
        <f>IFERROR(_xlfn.XLOOKUP($A297,'Raw Data'!$G:$G,'Raw Data'!AK:AK),"")</f>
        <v/>
      </c>
      <c r="AA297" s="101" t="str">
        <f>IFERROR(_xlfn.XLOOKUP($A297,'Raw Data'!$G:$G,'Raw Data'!$AL:$AL)*(1+(_xlfn.XLOOKUP(Table13[[#This Row],[Month Year]],JMR!$A:$A,JMR!$J:$J))),"")</f>
        <v/>
      </c>
      <c r="AB297" s="101" t="str">
        <f>IFERROR(_xlfn.XLOOKUP($A297,'Raw Data'!$G:$G,'Raw Data'!H:H),"")</f>
        <v/>
      </c>
      <c r="AC297" s="67">
        <f>IFERROR(_xlfn.XLOOKUP($D297,'Modelling New'!$D:$D,'Modelling New'!P:P),"")</f>
        <v>5.9322580645161294</v>
      </c>
      <c r="AD297" s="101">
        <f>IFERROR(_xlfn.XLOOKUP($D297,'Modelling New'!$D:$D,'Modelling New'!$T:$T)*1000,"")</f>
        <v>34475.662965312498</v>
      </c>
      <c r="AE297" s="109">
        <f>IFERROR(_xlfn.XLOOKUP($D297,'Modelling New'!$D:$D,'Modelling New'!O:O),"")</f>
        <v>0.72455188248968172</v>
      </c>
      <c r="AF297" s="108">
        <f>IFERROR(_xlfn.XLOOKUP($D297,'Modelling New'!$D:$D,'Modelling New'!W:W),"")</f>
        <v>0.17909286450248987</v>
      </c>
      <c r="AG297" s="108">
        <f>IFERROR(_xlfn.XLOOKUP($D297,'Modelling New'!$D:$D,'Modelling New'!AE:AE),"")</f>
        <v>0.98040000000000005</v>
      </c>
      <c r="AH297" s="128">
        <f>IFERROR(_xlfn.XLOOKUP($D297,'Modelling New'!$D:$D,'Modelling New'!AF:AF),"")</f>
        <v>0.98</v>
      </c>
      <c r="AN297" s="105"/>
      <c r="AO297" s="108"/>
      <c r="AP297" s="108"/>
      <c r="AQ297" s="108"/>
      <c r="AR297" s="101">
        <f>'Basic Data'!$B$98/1000</f>
        <v>8.0208999999999993</v>
      </c>
      <c r="AT297" s="7" t="str">
        <f>IFERROR(_xlfn.XLOOKUP(Table13[[#This Row],[Date]],'Raw Data'!$G:$G,'Raw Data'!$AN:$AN),"")</f>
        <v/>
      </c>
      <c r="AU297" s="7">
        <f>IFERROR(_xlfn.XLOOKUP(Table13[[#This Row],[Month Year]],'Modelling New'!$D:$D,'Modelling New'!$AO:$AO),"")</f>
        <v>8</v>
      </c>
      <c r="AV297" s="7">
        <f>SUMIF('Curtailment Records'!$C:$C,Table13[[#This Row],[Date]],'Curtailment Records'!$R:$R)/1000</f>
        <v>0</v>
      </c>
    </row>
    <row r="298" spans="1:48" x14ac:dyDescent="0.3">
      <c r="A298" s="100">
        <f t="shared" si="19"/>
        <v>46041</v>
      </c>
      <c r="B298" s="101">
        <f>YEAR(Table13[[#This Row],[Date]])+IF(MONTH(Table13[[#This Row],[Date]])&gt;=4,1,0)</f>
        <v>2026</v>
      </c>
      <c r="C298" s="7">
        <f>YEAR(Table13[[#This Row],[Date]])</f>
        <v>2026</v>
      </c>
      <c r="D298" s="102">
        <f>Table13[[#This Row],[Date]]-DAY(Table13[[#This Row],[Date]])+1</f>
        <v>46023</v>
      </c>
      <c r="E298" s="7">
        <f t="shared" si="16"/>
        <v>31</v>
      </c>
      <c r="F298" s="103" t="str">
        <f>IFERROR(_xlfn.XLOOKUP($A298,'Raw Data'!$G:$G,'Raw Data'!$AM:$AM),"")</f>
        <v/>
      </c>
      <c r="G298" s="104" t="str">
        <f>IFERROR(_xlfn.XLOOKUP($A298,'Raw Data'!$G:$G,'Raw Data'!$AB:$AB),"")</f>
        <v/>
      </c>
      <c r="H298" s="104"/>
      <c r="I298" s="104" t="str">
        <f>IFERROR(_xlfn.XLOOKUP($A298,'Raw Data'!$G:$G,'Raw Data'!$AC:$AC),"")</f>
        <v/>
      </c>
      <c r="J298" s="104"/>
      <c r="K298" s="104" t="str">
        <f>IFERROR(_xlfn.XLOOKUP($A298,'Raw Data'!$G:$G,'Raw Data'!AD:AD),"")</f>
        <v/>
      </c>
      <c r="L298" s="104" t="str">
        <f>IFERROR(_xlfn.XLOOKUP($A298,'Raw Data'!$G:$G,'Raw Data'!AE:AE),"")</f>
        <v/>
      </c>
      <c r="M298" s="104" t="str">
        <f>IFERROR(_xlfn.XLOOKUP($A298,'Raw Data'!$G:$G,'Raw Data'!AF:AF),"")</f>
        <v/>
      </c>
      <c r="N298" s="104" t="str">
        <f>IFERROR(_xlfn.XLOOKUP($A298,'Raw Data'!$G:$G,'Raw Data'!AG:AG),"")</f>
        <v/>
      </c>
      <c r="O298" s="105" t="str">
        <f>IFERROR(1-SUMIF('Plant BD'!$B:$B,$A298,'Plant BD'!$AM:$AM)/($AA298+SUMIF('Plant BD'!$B:$B,$A298,'Plant BD'!$AM:$AM)),"")</f>
        <v/>
      </c>
      <c r="P298" s="105"/>
      <c r="Q298" s="106"/>
      <c r="R298" s="105" t="str">
        <f>IFERROR(1-SUMIF('Grid BD'!$B:$B,$A298,'Grid BD'!$AE:$AE)/($AA298+SUMIF('Grid BD'!$B:$B,$A298,'Grid BD'!$AE:$AE)),"")</f>
        <v/>
      </c>
      <c r="T298" s="106"/>
      <c r="U298" s="107" t="str">
        <f t="shared" si="17"/>
        <v/>
      </c>
      <c r="V298" s="107"/>
      <c r="W298" s="108" t="str">
        <f t="shared" si="18"/>
        <v/>
      </c>
      <c r="X298" s="101" t="str">
        <f>IFERROR(_xlfn.XLOOKUP($A298,'Raw Data'!$G:$G,'Raw Data'!AI:AI),"")</f>
        <v/>
      </c>
      <c r="Y298" s="101" t="str">
        <f>IFERROR(_xlfn.XLOOKUP($A298,'Raw Data'!$G:$G,'Raw Data'!AJ:AJ),"")</f>
        <v/>
      </c>
      <c r="Z298" s="101" t="str">
        <f>IFERROR(_xlfn.XLOOKUP($A298,'Raw Data'!$G:$G,'Raw Data'!AK:AK),"")</f>
        <v/>
      </c>
      <c r="AA298" s="101" t="str">
        <f>IFERROR(_xlfn.XLOOKUP($A298,'Raw Data'!$G:$G,'Raw Data'!$AL:$AL)*(1+(_xlfn.XLOOKUP(Table13[[#This Row],[Month Year]],JMR!$A:$A,JMR!$J:$J))),"")</f>
        <v/>
      </c>
      <c r="AB298" s="101" t="str">
        <f>IFERROR(_xlfn.XLOOKUP($A298,'Raw Data'!$G:$G,'Raw Data'!H:H),"")</f>
        <v/>
      </c>
      <c r="AC298" s="67">
        <f>IFERROR(_xlfn.XLOOKUP($D298,'Modelling New'!$D:$D,'Modelling New'!P:P),"")</f>
        <v>5.9322580645161294</v>
      </c>
      <c r="AD298" s="101">
        <f>IFERROR(_xlfn.XLOOKUP($D298,'Modelling New'!$D:$D,'Modelling New'!$T:$T)*1000,"")</f>
        <v>34475.662965312498</v>
      </c>
      <c r="AE298" s="109">
        <f>IFERROR(_xlfn.XLOOKUP($D298,'Modelling New'!$D:$D,'Modelling New'!O:O),"")</f>
        <v>0.72455188248968172</v>
      </c>
      <c r="AF298" s="108">
        <f>IFERROR(_xlfn.XLOOKUP($D298,'Modelling New'!$D:$D,'Modelling New'!W:W),"")</f>
        <v>0.17909286450248987</v>
      </c>
      <c r="AG298" s="108">
        <f>IFERROR(_xlfn.XLOOKUP($D298,'Modelling New'!$D:$D,'Modelling New'!AE:AE),"")</f>
        <v>0.98040000000000005</v>
      </c>
      <c r="AH298" s="128">
        <f>IFERROR(_xlfn.XLOOKUP($D298,'Modelling New'!$D:$D,'Modelling New'!AF:AF),"")</f>
        <v>0.98</v>
      </c>
      <c r="AN298" s="105"/>
      <c r="AO298" s="108"/>
      <c r="AP298" s="108"/>
      <c r="AQ298" s="108"/>
      <c r="AR298" s="101">
        <f>'Basic Data'!$B$98/1000</f>
        <v>8.0208999999999993</v>
      </c>
      <c r="AT298" s="7" t="str">
        <f>IFERROR(_xlfn.XLOOKUP(Table13[[#This Row],[Date]],'Raw Data'!$G:$G,'Raw Data'!$AN:$AN),"")</f>
        <v/>
      </c>
      <c r="AU298" s="7">
        <f>IFERROR(_xlfn.XLOOKUP(Table13[[#This Row],[Month Year]],'Modelling New'!$D:$D,'Modelling New'!$AO:$AO),"")</f>
        <v>8</v>
      </c>
      <c r="AV298" s="7">
        <f>SUMIF('Curtailment Records'!$C:$C,Table13[[#This Row],[Date]],'Curtailment Records'!$R:$R)/1000</f>
        <v>0</v>
      </c>
    </row>
    <row r="299" spans="1:48" x14ac:dyDescent="0.3">
      <c r="A299" s="100">
        <f t="shared" si="19"/>
        <v>46042</v>
      </c>
      <c r="B299" s="101">
        <f>YEAR(Table13[[#This Row],[Date]])+IF(MONTH(Table13[[#This Row],[Date]])&gt;=4,1,0)</f>
        <v>2026</v>
      </c>
      <c r="C299" s="7">
        <f>YEAR(Table13[[#This Row],[Date]])</f>
        <v>2026</v>
      </c>
      <c r="D299" s="102">
        <f>Table13[[#This Row],[Date]]-DAY(Table13[[#This Row],[Date]])+1</f>
        <v>46023</v>
      </c>
      <c r="E299" s="7">
        <f t="shared" si="16"/>
        <v>31</v>
      </c>
      <c r="F299" s="103" t="str">
        <f>IFERROR(_xlfn.XLOOKUP($A299,'Raw Data'!$G:$G,'Raw Data'!$AM:$AM),"")</f>
        <v/>
      </c>
      <c r="G299" s="104" t="str">
        <f>IFERROR(_xlfn.XLOOKUP($A299,'Raw Data'!$G:$G,'Raw Data'!$AB:$AB),"")</f>
        <v/>
      </c>
      <c r="H299" s="104"/>
      <c r="I299" s="104" t="str">
        <f>IFERROR(_xlfn.XLOOKUP($A299,'Raw Data'!$G:$G,'Raw Data'!$AC:$AC),"")</f>
        <v/>
      </c>
      <c r="J299" s="104"/>
      <c r="K299" s="104" t="str">
        <f>IFERROR(_xlfn.XLOOKUP($A299,'Raw Data'!$G:$G,'Raw Data'!AD:AD),"")</f>
        <v/>
      </c>
      <c r="L299" s="104" t="str">
        <f>IFERROR(_xlfn.XLOOKUP($A299,'Raw Data'!$G:$G,'Raw Data'!AE:AE),"")</f>
        <v/>
      </c>
      <c r="M299" s="104" t="str">
        <f>IFERROR(_xlfn.XLOOKUP($A299,'Raw Data'!$G:$G,'Raw Data'!AF:AF),"")</f>
        <v/>
      </c>
      <c r="N299" s="104" t="str">
        <f>IFERROR(_xlfn.XLOOKUP($A299,'Raw Data'!$G:$G,'Raw Data'!AG:AG),"")</f>
        <v/>
      </c>
      <c r="O299" s="105" t="str">
        <f>IFERROR(1-SUMIF('Plant BD'!$B:$B,$A299,'Plant BD'!$AM:$AM)/($AA299+SUMIF('Plant BD'!$B:$B,$A299,'Plant BD'!$AM:$AM)),"")</f>
        <v/>
      </c>
      <c r="P299" s="105"/>
      <c r="Q299" s="106"/>
      <c r="R299" s="105" t="str">
        <f>IFERROR(1-SUMIF('Grid BD'!$B:$B,$A299,'Grid BD'!$AE:$AE)/($AA299+SUMIF('Grid BD'!$B:$B,$A299,'Grid BD'!$AE:$AE)),"")</f>
        <v/>
      </c>
      <c r="T299" s="106"/>
      <c r="U299" s="107" t="str">
        <f t="shared" si="17"/>
        <v/>
      </c>
      <c r="V299" s="107"/>
      <c r="W299" s="108" t="str">
        <f t="shared" si="18"/>
        <v/>
      </c>
      <c r="X299" s="101" t="str">
        <f>IFERROR(_xlfn.XLOOKUP($A299,'Raw Data'!$G:$G,'Raw Data'!AI:AI),"")</f>
        <v/>
      </c>
      <c r="Y299" s="101" t="str">
        <f>IFERROR(_xlfn.XLOOKUP($A299,'Raw Data'!$G:$G,'Raw Data'!AJ:AJ),"")</f>
        <v/>
      </c>
      <c r="Z299" s="101" t="str">
        <f>IFERROR(_xlfn.XLOOKUP($A299,'Raw Data'!$G:$G,'Raw Data'!AK:AK),"")</f>
        <v/>
      </c>
      <c r="AA299" s="101" t="str">
        <f>IFERROR(_xlfn.XLOOKUP($A299,'Raw Data'!$G:$G,'Raw Data'!$AL:$AL)*(1+(_xlfn.XLOOKUP(Table13[[#This Row],[Month Year]],JMR!$A:$A,JMR!$J:$J))),"")</f>
        <v/>
      </c>
      <c r="AB299" s="101" t="str">
        <f>IFERROR(_xlfn.XLOOKUP($A299,'Raw Data'!$G:$G,'Raw Data'!H:H),"")</f>
        <v/>
      </c>
      <c r="AC299" s="67">
        <f>IFERROR(_xlfn.XLOOKUP($D299,'Modelling New'!$D:$D,'Modelling New'!P:P),"")</f>
        <v>5.9322580645161294</v>
      </c>
      <c r="AD299" s="101">
        <f>IFERROR(_xlfn.XLOOKUP($D299,'Modelling New'!$D:$D,'Modelling New'!$T:$T)*1000,"")</f>
        <v>34475.662965312498</v>
      </c>
      <c r="AE299" s="109">
        <f>IFERROR(_xlfn.XLOOKUP($D299,'Modelling New'!$D:$D,'Modelling New'!O:O),"")</f>
        <v>0.72455188248968172</v>
      </c>
      <c r="AF299" s="108">
        <f>IFERROR(_xlfn.XLOOKUP($D299,'Modelling New'!$D:$D,'Modelling New'!W:W),"")</f>
        <v>0.17909286450248987</v>
      </c>
      <c r="AG299" s="108">
        <f>IFERROR(_xlfn.XLOOKUP($D299,'Modelling New'!$D:$D,'Modelling New'!AE:AE),"")</f>
        <v>0.98040000000000005</v>
      </c>
      <c r="AH299" s="128">
        <f>IFERROR(_xlfn.XLOOKUP($D299,'Modelling New'!$D:$D,'Modelling New'!AF:AF),"")</f>
        <v>0.98</v>
      </c>
      <c r="AN299" s="105"/>
      <c r="AO299" s="108"/>
      <c r="AP299" s="108"/>
      <c r="AQ299" s="108"/>
      <c r="AR299" s="101">
        <f>'Basic Data'!$B$98/1000</f>
        <v>8.0208999999999993</v>
      </c>
      <c r="AT299" s="7" t="str">
        <f>IFERROR(_xlfn.XLOOKUP(Table13[[#This Row],[Date]],'Raw Data'!$G:$G,'Raw Data'!$AN:$AN),"")</f>
        <v/>
      </c>
      <c r="AU299" s="7">
        <f>IFERROR(_xlfn.XLOOKUP(Table13[[#This Row],[Month Year]],'Modelling New'!$D:$D,'Modelling New'!$AO:$AO),"")</f>
        <v>8</v>
      </c>
      <c r="AV299" s="7">
        <f>SUMIF('Curtailment Records'!$C:$C,Table13[[#This Row],[Date]],'Curtailment Records'!$R:$R)/1000</f>
        <v>0</v>
      </c>
    </row>
    <row r="300" spans="1:48" x14ac:dyDescent="0.3">
      <c r="A300" s="100">
        <f t="shared" si="19"/>
        <v>46043</v>
      </c>
      <c r="B300" s="101">
        <f>YEAR(Table13[[#This Row],[Date]])+IF(MONTH(Table13[[#This Row],[Date]])&gt;=4,1,0)</f>
        <v>2026</v>
      </c>
      <c r="C300" s="7">
        <f>YEAR(Table13[[#This Row],[Date]])</f>
        <v>2026</v>
      </c>
      <c r="D300" s="102">
        <f>Table13[[#This Row],[Date]]-DAY(Table13[[#This Row],[Date]])+1</f>
        <v>46023</v>
      </c>
      <c r="E300" s="7">
        <f t="shared" si="16"/>
        <v>31</v>
      </c>
      <c r="F300" s="103" t="str">
        <f>IFERROR(_xlfn.XLOOKUP($A300,'Raw Data'!$G:$G,'Raw Data'!$AM:$AM),"")</f>
        <v/>
      </c>
      <c r="G300" s="104" t="str">
        <f>IFERROR(_xlfn.XLOOKUP($A300,'Raw Data'!$G:$G,'Raw Data'!$AB:$AB),"")</f>
        <v/>
      </c>
      <c r="H300" s="104"/>
      <c r="I300" s="104" t="str">
        <f>IFERROR(_xlfn.XLOOKUP($A300,'Raw Data'!$G:$G,'Raw Data'!$AC:$AC),"")</f>
        <v/>
      </c>
      <c r="J300" s="104"/>
      <c r="K300" s="104" t="str">
        <f>IFERROR(_xlfn.XLOOKUP($A300,'Raw Data'!$G:$G,'Raw Data'!AD:AD),"")</f>
        <v/>
      </c>
      <c r="L300" s="104" t="str">
        <f>IFERROR(_xlfn.XLOOKUP($A300,'Raw Data'!$G:$G,'Raw Data'!AE:AE),"")</f>
        <v/>
      </c>
      <c r="M300" s="104" t="str">
        <f>IFERROR(_xlfn.XLOOKUP($A300,'Raw Data'!$G:$G,'Raw Data'!AF:AF),"")</f>
        <v/>
      </c>
      <c r="N300" s="104" t="str">
        <f>IFERROR(_xlfn.XLOOKUP($A300,'Raw Data'!$G:$G,'Raw Data'!AG:AG),"")</f>
        <v/>
      </c>
      <c r="O300" s="105" t="str">
        <f>IFERROR(1-SUMIF('Plant BD'!$B:$B,$A300,'Plant BD'!$AM:$AM)/($AA300+SUMIF('Plant BD'!$B:$B,$A300,'Plant BD'!$AM:$AM)),"")</f>
        <v/>
      </c>
      <c r="P300" s="105"/>
      <c r="Q300" s="106"/>
      <c r="R300" s="105" t="str">
        <f>IFERROR(1-SUMIF('Grid BD'!$B:$B,$A300,'Grid BD'!$AE:$AE)/($AA300+SUMIF('Grid BD'!$B:$B,$A300,'Grid BD'!$AE:$AE)),"")</f>
        <v/>
      </c>
      <c r="T300" s="106"/>
      <c r="U300" s="107" t="str">
        <f t="shared" si="17"/>
        <v/>
      </c>
      <c r="V300" s="107"/>
      <c r="W300" s="108" t="str">
        <f t="shared" si="18"/>
        <v/>
      </c>
      <c r="X300" s="101" t="str">
        <f>IFERROR(_xlfn.XLOOKUP($A300,'Raw Data'!$G:$G,'Raw Data'!AI:AI),"")</f>
        <v/>
      </c>
      <c r="Y300" s="101" t="str">
        <f>IFERROR(_xlfn.XLOOKUP($A300,'Raw Data'!$G:$G,'Raw Data'!AJ:AJ),"")</f>
        <v/>
      </c>
      <c r="Z300" s="101" t="str">
        <f>IFERROR(_xlfn.XLOOKUP($A300,'Raw Data'!$G:$G,'Raw Data'!AK:AK),"")</f>
        <v/>
      </c>
      <c r="AA300" s="101" t="str">
        <f>IFERROR(_xlfn.XLOOKUP($A300,'Raw Data'!$G:$G,'Raw Data'!$AL:$AL)*(1+(_xlfn.XLOOKUP(Table13[[#This Row],[Month Year]],JMR!$A:$A,JMR!$J:$J))),"")</f>
        <v/>
      </c>
      <c r="AB300" s="101" t="str">
        <f>IFERROR(_xlfn.XLOOKUP($A300,'Raw Data'!$G:$G,'Raw Data'!H:H),"")</f>
        <v/>
      </c>
      <c r="AC300" s="67">
        <f>IFERROR(_xlfn.XLOOKUP($D300,'Modelling New'!$D:$D,'Modelling New'!P:P),"")</f>
        <v>5.9322580645161294</v>
      </c>
      <c r="AD300" s="101">
        <f>IFERROR(_xlfn.XLOOKUP($D300,'Modelling New'!$D:$D,'Modelling New'!$T:$T)*1000,"")</f>
        <v>34475.662965312498</v>
      </c>
      <c r="AE300" s="109">
        <f>IFERROR(_xlfn.XLOOKUP($D300,'Modelling New'!$D:$D,'Modelling New'!O:O),"")</f>
        <v>0.72455188248968172</v>
      </c>
      <c r="AF300" s="108">
        <f>IFERROR(_xlfn.XLOOKUP($D300,'Modelling New'!$D:$D,'Modelling New'!W:W),"")</f>
        <v>0.17909286450248987</v>
      </c>
      <c r="AG300" s="108">
        <f>IFERROR(_xlfn.XLOOKUP($D300,'Modelling New'!$D:$D,'Modelling New'!AE:AE),"")</f>
        <v>0.98040000000000005</v>
      </c>
      <c r="AH300" s="128">
        <f>IFERROR(_xlfn.XLOOKUP($D300,'Modelling New'!$D:$D,'Modelling New'!AF:AF),"")</f>
        <v>0.98</v>
      </c>
      <c r="AN300" s="105"/>
      <c r="AO300" s="108"/>
      <c r="AP300" s="108"/>
      <c r="AQ300" s="108"/>
      <c r="AR300" s="101">
        <f>'Basic Data'!$B$98/1000</f>
        <v>8.0208999999999993</v>
      </c>
      <c r="AT300" s="7" t="str">
        <f>IFERROR(_xlfn.XLOOKUP(Table13[[#This Row],[Date]],'Raw Data'!$G:$G,'Raw Data'!$AN:$AN),"")</f>
        <v/>
      </c>
      <c r="AU300" s="7">
        <f>IFERROR(_xlfn.XLOOKUP(Table13[[#This Row],[Month Year]],'Modelling New'!$D:$D,'Modelling New'!$AO:$AO),"")</f>
        <v>8</v>
      </c>
      <c r="AV300" s="7">
        <f>SUMIF('Curtailment Records'!$C:$C,Table13[[#This Row],[Date]],'Curtailment Records'!$R:$R)/1000</f>
        <v>0</v>
      </c>
    </row>
    <row r="301" spans="1:48" x14ac:dyDescent="0.3">
      <c r="A301" s="100">
        <f t="shared" si="19"/>
        <v>46044</v>
      </c>
      <c r="B301" s="101">
        <f>YEAR(Table13[[#This Row],[Date]])+IF(MONTH(Table13[[#This Row],[Date]])&gt;=4,1,0)</f>
        <v>2026</v>
      </c>
      <c r="C301" s="7">
        <f>YEAR(Table13[[#This Row],[Date]])</f>
        <v>2026</v>
      </c>
      <c r="D301" s="102">
        <f>Table13[[#This Row],[Date]]-DAY(Table13[[#This Row],[Date]])+1</f>
        <v>46023</v>
      </c>
      <c r="E301" s="7">
        <f t="shared" si="16"/>
        <v>31</v>
      </c>
      <c r="F301" s="103" t="str">
        <f>IFERROR(_xlfn.XLOOKUP($A301,'Raw Data'!$G:$G,'Raw Data'!$AM:$AM),"")</f>
        <v/>
      </c>
      <c r="G301" s="104" t="str">
        <f>IFERROR(_xlfn.XLOOKUP($A301,'Raw Data'!$G:$G,'Raw Data'!$AB:$AB),"")</f>
        <v/>
      </c>
      <c r="H301" s="104"/>
      <c r="I301" s="104" t="str">
        <f>IFERROR(_xlfn.XLOOKUP($A301,'Raw Data'!$G:$G,'Raw Data'!$AC:$AC),"")</f>
        <v/>
      </c>
      <c r="J301" s="104"/>
      <c r="K301" s="104" t="str">
        <f>IFERROR(_xlfn.XLOOKUP($A301,'Raw Data'!$G:$G,'Raw Data'!AD:AD),"")</f>
        <v/>
      </c>
      <c r="L301" s="104" t="str">
        <f>IFERROR(_xlfn.XLOOKUP($A301,'Raw Data'!$G:$G,'Raw Data'!AE:AE),"")</f>
        <v/>
      </c>
      <c r="M301" s="104" t="str">
        <f>IFERROR(_xlfn.XLOOKUP($A301,'Raw Data'!$G:$G,'Raw Data'!AF:AF),"")</f>
        <v/>
      </c>
      <c r="N301" s="104" t="str">
        <f>IFERROR(_xlfn.XLOOKUP($A301,'Raw Data'!$G:$G,'Raw Data'!AG:AG),"")</f>
        <v/>
      </c>
      <c r="O301" s="105" t="str">
        <f>IFERROR(1-SUMIF('Plant BD'!$B:$B,$A301,'Plant BD'!$AM:$AM)/($AA301+SUMIF('Plant BD'!$B:$B,$A301,'Plant BD'!$AM:$AM)),"")</f>
        <v/>
      </c>
      <c r="P301" s="105"/>
      <c r="Q301" s="106"/>
      <c r="R301" s="105" t="str">
        <f>IFERROR(1-SUMIF('Grid BD'!$B:$B,$A301,'Grid BD'!$AE:$AE)/($AA301+SUMIF('Grid BD'!$B:$B,$A301,'Grid BD'!$AE:$AE)),"")</f>
        <v/>
      </c>
      <c r="T301" s="106"/>
      <c r="U301" s="107" t="str">
        <f t="shared" si="17"/>
        <v/>
      </c>
      <c r="V301" s="107"/>
      <c r="W301" s="108" t="str">
        <f t="shared" si="18"/>
        <v/>
      </c>
      <c r="X301" s="101" t="str">
        <f>IFERROR(_xlfn.XLOOKUP($A301,'Raw Data'!$G:$G,'Raw Data'!AI:AI),"")</f>
        <v/>
      </c>
      <c r="Y301" s="101" t="str">
        <f>IFERROR(_xlfn.XLOOKUP($A301,'Raw Data'!$G:$G,'Raw Data'!AJ:AJ),"")</f>
        <v/>
      </c>
      <c r="Z301" s="101" t="str">
        <f>IFERROR(_xlfn.XLOOKUP($A301,'Raw Data'!$G:$G,'Raw Data'!AK:AK),"")</f>
        <v/>
      </c>
      <c r="AA301" s="101" t="str">
        <f>IFERROR(_xlfn.XLOOKUP($A301,'Raw Data'!$G:$G,'Raw Data'!$AL:$AL)*(1+(_xlfn.XLOOKUP(Table13[[#This Row],[Month Year]],JMR!$A:$A,JMR!$J:$J))),"")</f>
        <v/>
      </c>
      <c r="AB301" s="101" t="str">
        <f>IFERROR(_xlfn.XLOOKUP($A301,'Raw Data'!$G:$G,'Raw Data'!H:H),"")</f>
        <v/>
      </c>
      <c r="AC301" s="67">
        <f>IFERROR(_xlfn.XLOOKUP($D301,'Modelling New'!$D:$D,'Modelling New'!P:P),"")</f>
        <v>5.9322580645161294</v>
      </c>
      <c r="AD301" s="101">
        <f>IFERROR(_xlfn.XLOOKUP($D301,'Modelling New'!$D:$D,'Modelling New'!$T:$T)*1000,"")</f>
        <v>34475.662965312498</v>
      </c>
      <c r="AE301" s="109">
        <f>IFERROR(_xlfn.XLOOKUP($D301,'Modelling New'!$D:$D,'Modelling New'!O:O),"")</f>
        <v>0.72455188248968172</v>
      </c>
      <c r="AF301" s="108">
        <f>IFERROR(_xlfn.XLOOKUP($D301,'Modelling New'!$D:$D,'Modelling New'!W:W),"")</f>
        <v>0.17909286450248987</v>
      </c>
      <c r="AG301" s="108">
        <f>IFERROR(_xlfn.XLOOKUP($D301,'Modelling New'!$D:$D,'Modelling New'!AE:AE),"")</f>
        <v>0.98040000000000005</v>
      </c>
      <c r="AH301" s="128">
        <f>IFERROR(_xlfn.XLOOKUP($D301,'Modelling New'!$D:$D,'Modelling New'!AF:AF),"")</f>
        <v>0.98</v>
      </c>
      <c r="AN301" s="105"/>
      <c r="AO301" s="108"/>
      <c r="AP301" s="108"/>
      <c r="AQ301" s="108"/>
      <c r="AR301" s="101">
        <f>'Basic Data'!$B$98/1000</f>
        <v>8.0208999999999993</v>
      </c>
      <c r="AT301" s="7" t="str">
        <f>IFERROR(_xlfn.XLOOKUP(Table13[[#This Row],[Date]],'Raw Data'!$G:$G,'Raw Data'!$AN:$AN),"")</f>
        <v/>
      </c>
      <c r="AU301" s="7">
        <f>IFERROR(_xlfn.XLOOKUP(Table13[[#This Row],[Month Year]],'Modelling New'!$D:$D,'Modelling New'!$AO:$AO),"")</f>
        <v>8</v>
      </c>
      <c r="AV301" s="7">
        <f>SUMIF('Curtailment Records'!$C:$C,Table13[[#This Row],[Date]],'Curtailment Records'!$R:$R)/1000</f>
        <v>0</v>
      </c>
    </row>
    <row r="302" spans="1:48" x14ac:dyDescent="0.3">
      <c r="A302" s="100">
        <f t="shared" si="19"/>
        <v>46045</v>
      </c>
      <c r="B302" s="101">
        <f>YEAR(Table13[[#This Row],[Date]])+IF(MONTH(Table13[[#This Row],[Date]])&gt;=4,1,0)</f>
        <v>2026</v>
      </c>
      <c r="C302" s="7">
        <f>YEAR(Table13[[#This Row],[Date]])</f>
        <v>2026</v>
      </c>
      <c r="D302" s="102">
        <f>Table13[[#This Row],[Date]]-DAY(Table13[[#This Row],[Date]])+1</f>
        <v>46023</v>
      </c>
      <c r="E302" s="7">
        <f t="shared" si="16"/>
        <v>31</v>
      </c>
      <c r="F302" s="103" t="str">
        <f>IFERROR(_xlfn.XLOOKUP($A302,'Raw Data'!$G:$G,'Raw Data'!$AM:$AM),"")</f>
        <v/>
      </c>
      <c r="G302" s="104" t="str">
        <f>IFERROR(_xlfn.XLOOKUP($A302,'Raw Data'!$G:$G,'Raw Data'!$AB:$AB),"")</f>
        <v/>
      </c>
      <c r="H302" s="104"/>
      <c r="I302" s="104" t="str">
        <f>IFERROR(_xlfn.XLOOKUP($A302,'Raw Data'!$G:$G,'Raw Data'!$AC:$AC),"")</f>
        <v/>
      </c>
      <c r="J302" s="104"/>
      <c r="K302" s="104" t="str">
        <f>IFERROR(_xlfn.XLOOKUP($A302,'Raw Data'!$G:$G,'Raw Data'!AD:AD),"")</f>
        <v/>
      </c>
      <c r="L302" s="104" t="str">
        <f>IFERROR(_xlfn.XLOOKUP($A302,'Raw Data'!$G:$G,'Raw Data'!AE:AE),"")</f>
        <v/>
      </c>
      <c r="M302" s="104" t="str">
        <f>IFERROR(_xlfn.XLOOKUP($A302,'Raw Data'!$G:$G,'Raw Data'!AF:AF),"")</f>
        <v/>
      </c>
      <c r="N302" s="104" t="str">
        <f>IFERROR(_xlfn.XLOOKUP($A302,'Raw Data'!$G:$G,'Raw Data'!AG:AG),"")</f>
        <v/>
      </c>
      <c r="O302" s="105" t="str">
        <f>IFERROR(1-SUMIF('Plant BD'!$B:$B,$A302,'Plant BD'!$AM:$AM)/($AA302+SUMIF('Plant BD'!$B:$B,$A302,'Plant BD'!$AM:$AM)),"")</f>
        <v/>
      </c>
      <c r="P302" s="105"/>
      <c r="Q302" s="106"/>
      <c r="R302" s="105" t="str">
        <f>IFERROR(1-SUMIF('Grid BD'!$B:$B,$A302,'Grid BD'!$AE:$AE)/($AA302+SUMIF('Grid BD'!$B:$B,$A302,'Grid BD'!$AE:$AE)),"")</f>
        <v/>
      </c>
      <c r="T302" s="106"/>
      <c r="U302" s="107" t="str">
        <f t="shared" si="17"/>
        <v/>
      </c>
      <c r="V302" s="107"/>
      <c r="W302" s="108" t="str">
        <f t="shared" si="18"/>
        <v/>
      </c>
      <c r="X302" s="101" t="str">
        <f>IFERROR(_xlfn.XLOOKUP($A302,'Raw Data'!$G:$G,'Raw Data'!AI:AI),"")</f>
        <v/>
      </c>
      <c r="Y302" s="101" t="str">
        <f>IFERROR(_xlfn.XLOOKUP($A302,'Raw Data'!$G:$G,'Raw Data'!AJ:AJ),"")</f>
        <v/>
      </c>
      <c r="Z302" s="101" t="str">
        <f>IFERROR(_xlfn.XLOOKUP($A302,'Raw Data'!$G:$G,'Raw Data'!AK:AK),"")</f>
        <v/>
      </c>
      <c r="AA302" s="101" t="str">
        <f>IFERROR(_xlfn.XLOOKUP($A302,'Raw Data'!$G:$G,'Raw Data'!$AL:$AL)*(1+(_xlfn.XLOOKUP(Table13[[#This Row],[Month Year]],JMR!$A:$A,JMR!$J:$J))),"")</f>
        <v/>
      </c>
      <c r="AB302" s="101" t="str">
        <f>IFERROR(_xlfn.XLOOKUP($A302,'Raw Data'!$G:$G,'Raw Data'!H:H),"")</f>
        <v/>
      </c>
      <c r="AC302" s="67">
        <f>IFERROR(_xlfn.XLOOKUP($D302,'Modelling New'!$D:$D,'Modelling New'!P:P),"")</f>
        <v>5.9322580645161294</v>
      </c>
      <c r="AD302" s="101">
        <f>IFERROR(_xlfn.XLOOKUP($D302,'Modelling New'!$D:$D,'Modelling New'!$T:$T)*1000,"")</f>
        <v>34475.662965312498</v>
      </c>
      <c r="AE302" s="109">
        <f>IFERROR(_xlfn.XLOOKUP($D302,'Modelling New'!$D:$D,'Modelling New'!O:O),"")</f>
        <v>0.72455188248968172</v>
      </c>
      <c r="AF302" s="108">
        <f>IFERROR(_xlfn.XLOOKUP($D302,'Modelling New'!$D:$D,'Modelling New'!W:W),"")</f>
        <v>0.17909286450248987</v>
      </c>
      <c r="AG302" s="108">
        <f>IFERROR(_xlfn.XLOOKUP($D302,'Modelling New'!$D:$D,'Modelling New'!AE:AE),"")</f>
        <v>0.98040000000000005</v>
      </c>
      <c r="AH302" s="128">
        <f>IFERROR(_xlfn.XLOOKUP($D302,'Modelling New'!$D:$D,'Modelling New'!AF:AF),"")</f>
        <v>0.98</v>
      </c>
      <c r="AN302" s="105"/>
      <c r="AO302" s="108"/>
      <c r="AP302" s="108"/>
      <c r="AQ302" s="108"/>
      <c r="AR302" s="101">
        <f>'Basic Data'!$B$98/1000</f>
        <v>8.0208999999999993</v>
      </c>
      <c r="AT302" s="7" t="str">
        <f>IFERROR(_xlfn.XLOOKUP(Table13[[#This Row],[Date]],'Raw Data'!$G:$G,'Raw Data'!$AN:$AN),"")</f>
        <v/>
      </c>
      <c r="AU302" s="7">
        <f>IFERROR(_xlfn.XLOOKUP(Table13[[#This Row],[Month Year]],'Modelling New'!$D:$D,'Modelling New'!$AO:$AO),"")</f>
        <v>8</v>
      </c>
      <c r="AV302" s="7">
        <f>SUMIF('Curtailment Records'!$C:$C,Table13[[#This Row],[Date]],'Curtailment Records'!$R:$R)/1000</f>
        <v>0</v>
      </c>
    </row>
    <row r="303" spans="1:48" x14ac:dyDescent="0.3">
      <c r="A303" s="100">
        <f t="shared" si="19"/>
        <v>46046</v>
      </c>
      <c r="B303" s="101">
        <f>YEAR(Table13[[#This Row],[Date]])+IF(MONTH(Table13[[#This Row],[Date]])&gt;=4,1,0)</f>
        <v>2026</v>
      </c>
      <c r="C303" s="7">
        <f>YEAR(Table13[[#This Row],[Date]])</f>
        <v>2026</v>
      </c>
      <c r="D303" s="102">
        <f>Table13[[#This Row],[Date]]-DAY(Table13[[#This Row],[Date]])+1</f>
        <v>46023</v>
      </c>
      <c r="E303" s="7">
        <f t="shared" si="16"/>
        <v>31</v>
      </c>
      <c r="F303" s="103" t="str">
        <f>IFERROR(_xlfn.XLOOKUP($A303,'Raw Data'!$G:$G,'Raw Data'!$AM:$AM),"")</f>
        <v/>
      </c>
      <c r="G303" s="104" t="str">
        <f>IFERROR(_xlfn.XLOOKUP($A303,'Raw Data'!$G:$G,'Raw Data'!$AB:$AB),"")</f>
        <v/>
      </c>
      <c r="H303" s="104"/>
      <c r="I303" s="104" t="str">
        <f>IFERROR(_xlfn.XLOOKUP($A303,'Raw Data'!$G:$G,'Raw Data'!$AC:$AC),"")</f>
        <v/>
      </c>
      <c r="J303" s="104"/>
      <c r="K303" s="104" t="str">
        <f>IFERROR(_xlfn.XLOOKUP($A303,'Raw Data'!$G:$G,'Raw Data'!AD:AD),"")</f>
        <v/>
      </c>
      <c r="L303" s="104" t="str">
        <f>IFERROR(_xlfn.XLOOKUP($A303,'Raw Data'!$G:$G,'Raw Data'!AE:AE),"")</f>
        <v/>
      </c>
      <c r="M303" s="104" t="str">
        <f>IFERROR(_xlfn.XLOOKUP($A303,'Raw Data'!$G:$G,'Raw Data'!AF:AF),"")</f>
        <v/>
      </c>
      <c r="N303" s="104" t="str">
        <f>IFERROR(_xlfn.XLOOKUP($A303,'Raw Data'!$G:$G,'Raw Data'!AG:AG),"")</f>
        <v/>
      </c>
      <c r="O303" s="105" t="str">
        <f>IFERROR(1-SUMIF('Plant BD'!$B:$B,$A303,'Plant BD'!$AM:$AM)/($AA303+SUMIF('Plant BD'!$B:$B,$A303,'Plant BD'!$AM:$AM)),"")</f>
        <v/>
      </c>
      <c r="P303" s="105"/>
      <c r="Q303" s="106"/>
      <c r="R303" s="105" t="str">
        <f>IFERROR(1-SUMIF('Grid BD'!$B:$B,$A303,'Grid BD'!$AE:$AE)/($AA303+SUMIF('Grid BD'!$B:$B,$A303,'Grid BD'!$AE:$AE)),"")</f>
        <v/>
      </c>
      <c r="T303" s="106"/>
      <c r="U303" s="107" t="str">
        <f t="shared" si="17"/>
        <v/>
      </c>
      <c r="V303" s="107"/>
      <c r="W303" s="108" t="str">
        <f t="shared" si="18"/>
        <v/>
      </c>
      <c r="X303" s="101" t="str">
        <f>IFERROR(_xlfn.XLOOKUP($A303,'Raw Data'!$G:$G,'Raw Data'!AI:AI),"")</f>
        <v/>
      </c>
      <c r="Y303" s="101" t="str">
        <f>IFERROR(_xlfn.XLOOKUP($A303,'Raw Data'!$G:$G,'Raw Data'!AJ:AJ),"")</f>
        <v/>
      </c>
      <c r="Z303" s="101" t="str">
        <f>IFERROR(_xlfn.XLOOKUP($A303,'Raw Data'!$G:$G,'Raw Data'!AK:AK),"")</f>
        <v/>
      </c>
      <c r="AA303" s="101" t="str">
        <f>IFERROR(_xlfn.XLOOKUP($A303,'Raw Data'!$G:$G,'Raw Data'!$AL:$AL)*(1+(_xlfn.XLOOKUP(Table13[[#This Row],[Month Year]],JMR!$A:$A,JMR!$J:$J))),"")</f>
        <v/>
      </c>
      <c r="AB303" s="101" t="str">
        <f>IFERROR(_xlfn.XLOOKUP($A303,'Raw Data'!$G:$G,'Raw Data'!H:H),"")</f>
        <v/>
      </c>
      <c r="AC303" s="67">
        <f>IFERROR(_xlfn.XLOOKUP($D303,'Modelling New'!$D:$D,'Modelling New'!P:P),"")</f>
        <v>5.9322580645161294</v>
      </c>
      <c r="AD303" s="101">
        <f>IFERROR(_xlfn.XLOOKUP($D303,'Modelling New'!$D:$D,'Modelling New'!$T:$T)*1000,"")</f>
        <v>34475.662965312498</v>
      </c>
      <c r="AE303" s="109">
        <f>IFERROR(_xlfn.XLOOKUP($D303,'Modelling New'!$D:$D,'Modelling New'!O:O),"")</f>
        <v>0.72455188248968172</v>
      </c>
      <c r="AF303" s="108">
        <f>IFERROR(_xlfn.XLOOKUP($D303,'Modelling New'!$D:$D,'Modelling New'!W:W),"")</f>
        <v>0.17909286450248987</v>
      </c>
      <c r="AG303" s="108">
        <f>IFERROR(_xlfn.XLOOKUP($D303,'Modelling New'!$D:$D,'Modelling New'!AE:AE),"")</f>
        <v>0.98040000000000005</v>
      </c>
      <c r="AH303" s="128">
        <f>IFERROR(_xlfn.XLOOKUP($D303,'Modelling New'!$D:$D,'Modelling New'!AF:AF),"")</f>
        <v>0.98</v>
      </c>
      <c r="AN303" s="105"/>
      <c r="AO303" s="108"/>
      <c r="AP303" s="108"/>
      <c r="AQ303" s="108"/>
      <c r="AR303" s="101">
        <f>'Basic Data'!$B$98/1000</f>
        <v>8.0208999999999993</v>
      </c>
      <c r="AT303" s="7" t="str">
        <f>IFERROR(_xlfn.XLOOKUP(Table13[[#This Row],[Date]],'Raw Data'!$G:$G,'Raw Data'!$AN:$AN),"")</f>
        <v/>
      </c>
      <c r="AU303" s="7">
        <f>IFERROR(_xlfn.XLOOKUP(Table13[[#This Row],[Month Year]],'Modelling New'!$D:$D,'Modelling New'!$AO:$AO),"")</f>
        <v>8</v>
      </c>
      <c r="AV303" s="7">
        <f>SUMIF('Curtailment Records'!$C:$C,Table13[[#This Row],[Date]],'Curtailment Records'!$R:$R)/1000</f>
        <v>0</v>
      </c>
    </row>
    <row r="304" spans="1:48" x14ac:dyDescent="0.3">
      <c r="A304" s="100">
        <f t="shared" si="19"/>
        <v>46047</v>
      </c>
      <c r="B304" s="101">
        <f>YEAR(Table13[[#This Row],[Date]])+IF(MONTH(Table13[[#This Row],[Date]])&gt;=4,1,0)</f>
        <v>2026</v>
      </c>
      <c r="C304" s="7">
        <f>YEAR(Table13[[#This Row],[Date]])</f>
        <v>2026</v>
      </c>
      <c r="D304" s="102">
        <f>Table13[[#This Row],[Date]]-DAY(Table13[[#This Row],[Date]])+1</f>
        <v>46023</v>
      </c>
      <c r="E304" s="7">
        <f t="shared" si="16"/>
        <v>31</v>
      </c>
      <c r="F304" s="103" t="str">
        <f>IFERROR(_xlfn.XLOOKUP($A304,'Raw Data'!$G:$G,'Raw Data'!$AM:$AM),"")</f>
        <v/>
      </c>
      <c r="G304" s="104" t="str">
        <f>IFERROR(_xlfn.XLOOKUP($A304,'Raw Data'!$G:$G,'Raw Data'!$AB:$AB),"")</f>
        <v/>
      </c>
      <c r="H304" s="104"/>
      <c r="I304" s="104" t="str">
        <f>IFERROR(_xlfn.XLOOKUP($A304,'Raw Data'!$G:$G,'Raw Data'!$AC:$AC),"")</f>
        <v/>
      </c>
      <c r="J304" s="104"/>
      <c r="K304" s="104" t="str">
        <f>IFERROR(_xlfn.XLOOKUP($A304,'Raw Data'!$G:$G,'Raw Data'!AD:AD),"")</f>
        <v/>
      </c>
      <c r="L304" s="104" t="str">
        <f>IFERROR(_xlfn.XLOOKUP($A304,'Raw Data'!$G:$G,'Raw Data'!AE:AE),"")</f>
        <v/>
      </c>
      <c r="M304" s="104" t="str">
        <f>IFERROR(_xlfn.XLOOKUP($A304,'Raw Data'!$G:$G,'Raw Data'!AF:AF),"")</f>
        <v/>
      </c>
      <c r="N304" s="104" t="str">
        <f>IFERROR(_xlfn.XLOOKUP($A304,'Raw Data'!$G:$G,'Raw Data'!AG:AG),"")</f>
        <v/>
      </c>
      <c r="O304" s="105" t="str">
        <f>IFERROR(1-SUMIF('Plant BD'!$B:$B,$A304,'Plant BD'!$AM:$AM)/($AA304+SUMIF('Plant BD'!$B:$B,$A304,'Plant BD'!$AM:$AM)),"")</f>
        <v/>
      </c>
      <c r="P304" s="105"/>
      <c r="Q304" s="106"/>
      <c r="R304" s="105" t="str">
        <f>IFERROR(1-SUMIF('Grid BD'!$B:$B,$A304,'Grid BD'!$AE:$AE)/($AA304+SUMIF('Grid BD'!$B:$B,$A304,'Grid BD'!$AE:$AE)),"")</f>
        <v/>
      </c>
      <c r="T304" s="106"/>
      <c r="U304" s="107" t="str">
        <f t="shared" si="17"/>
        <v/>
      </c>
      <c r="V304" s="107"/>
      <c r="W304" s="108" t="str">
        <f t="shared" si="18"/>
        <v/>
      </c>
      <c r="X304" s="101" t="str">
        <f>IFERROR(_xlfn.XLOOKUP($A304,'Raw Data'!$G:$G,'Raw Data'!AI:AI),"")</f>
        <v/>
      </c>
      <c r="Y304" s="101" t="str">
        <f>IFERROR(_xlfn.XLOOKUP($A304,'Raw Data'!$G:$G,'Raw Data'!AJ:AJ),"")</f>
        <v/>
      </c>
      <c r="Z304" s="101" t="str">
        <f>IFERROR(_xlfn.XLOOKUP($A304,'Raw Data'!$G:$G,'Raw Data'!AK:AK),"")</f>
        <v/>
      </c>
      <c r="AA304" s="101" t="str">
        <f>IFERROR(_xlfn.XLOOKUP($A304,'Raw Data'!$G:$G,'Raw Data'!$AL:$AL)*(1+(_xlfn.XLOOKUP(Table13[[#This Row],[Month Year]],JMR!$A:$A,JMR!$J:$J))),"")</f>
        <v/>
      </c>
      <c r="AB304" s="101" t="str">
        <f>IFERROR(_xlfn.XLOOKUP($A304,'Raw Data'!$G:$G,'Raw Data'!H:H),"")</f>
        <v/>
      </c>
      <c r="AC304" s="67">
        <f>IFERROR(_xlfn.XLOOKUP($D304,'Modelling New'!$D:$D,'Modelling New'!P:P),"")</f>
        <v>5.9322580645161294</v>
      </c>
      <c r="AD304" s="101">
        <f>IFERROR(_xlfn.XLOOKUP($D304,'Modelling New'!$D:$D,'Modelling New'!$T:$T)*1000,"")</f>
        <v>34475.662965312498</v>
      </c>
      <c r="AE304" s="109">
        <f>IFERROR(_xlfn.XLOOKUP($D304,'Modelling New'!$D:$D,'Modelling New'!O:O),"")</f>
        <v>0.72455188248968172</v>
      </c>
      <c r="AF304" s="108">
        <f>IFERROR(_xlfn.XLOOKUP($D304,'Modelling New'!$D:$D,'Modelling New'!W:W),"")</f>
        <v>0.17909286450248987</v>
      </c>
      <c r="AG304" s="108">
        <f>IFERROR(_xlfn.XLOOKUP($D304,'Modelling New'!$D:$D,'Modelling New'!AE:AE),"")</f>
        <v>0.98040000000000005</v>
      </c>
      <c r="AH304" s="128">
        <f>IFERROR(_xlfn.XLOOKUP($D304,'Modelling New'!$D:$D,'Modelling New'!AF:AF),"")</f>
        <v>0.98</v>
      </c>
      <c r="AN304" s="105"/>
      <c r="AO304" s="108"/>
      <c r="AP304" s="108"/>
      <c r="AQ304" s="108"/>
      <c r="AR304" s="101">
        <f>'Basic Data'!$B$98/1000</f>
        <v>8.0208999999999993</v>
      </c>
      <c r="AT304" s="7" t="str">
        <f>IFERROR(_xlfn.XLOOKUP(Table13[[#This Row],[Date]],'Raw Data'!$G:$G,'Raw Data'!$AN:$AN),"")</f>
        <v/>
      </c>
      <c r="AU304" s="7">
        <f>IFERROR(_xlfn.XLOOKUP(Table13[[#This Row],[Month Year]],'Modelling New'!$D:$D,'Modelling New'!$AO:$AO),"")</f>
        <v>8</v>
      </c>
      <c r="AV304" s="7">
        <f>SUMIF('Curtailment Records'!$C:$C,Table13[[#This Row],[Date]],'Curtailment Records'!$R:$R)/1000</f>
        <v>0</v>
      </c>
    </row>
    <row r="305" spans="1:48" x14ac:dyDescent="0.3">
      <c r="A305" s="100">
        <f t="shared" si="19"/>
        <v>46048</v>
      </c>
      <c r="B305" s="101">
        <f>YEAR(Table13[[#This Row],[Date]])+IF(MONTH(Table13[[#This Row],[Date]])&gt;=4,1,0)</f>
        <v>2026</v>
      </c>
      <c r="C305" s="7">
        <f>YEAR(Table13[[#This Row],[Date]])</f>
        <v>2026</v>
      </c>
      <c r="D305" s="102">
        <f>Table13[[#This Row],[Date]]-DAY(Table13[[#This Row],[Date]])+1</f>
        <v>46023</v>
      </c>
      <c r="E305" s="7">
        <f t="shared" si="16"/>
        <v>31</v>
      </c>
      <c r="F305" s="103" t="str">
        <f>IFERROR(_xlfn.XLOOKUP($A305,'Raw Data'!$G:$G,'Raw Data'!$AM:$AM),"")</f>
        <v/>
      </c>
      <c r="G305" s="104" t="str">
        <f>IFERROR(_xlfn.XLOOKUP($A305,'Raw Data'!$G:$G,'Raw Data'!$AB:$AB),"")</f>
        <v/>
      </c>
      <c r="H305" s="104"/>
      <c r="I305" s="104" t="str">
        <f>IFERROR(_xlfn.XLOOKUP($A305,'Raw Data'!$G:$G,'Raw Data'!$AC:$AC),"")</f>
        <v/>
      </c>
      <c r="J305" s="104"/>
      <c r="K305" s="104" t="str">
        <f>IFERROR(_xlfn.XLOOKUP($A305,'Raw Data'!$G:$G,'Raw Data'!AD:AD),"")</f>
        <v/>
      </c>
      <c r="L305" s="104" t="str">
        <f>IFERROR(_xlfn.XLOOKUP($A305,'Raw Data'!$G:$G,'Raw Data'!AE:AE),"")</f>
        <v/>
      </c>
      <c r="M305" s="104" t="str">
        <f>IFERROR(_xlfn.XLOOKUP($A305,'Raw Data'!$G:$G,'Raw Data'!AF:AF),"")</f>
        <v/>
      </c>
      <c r="N305" s="104" t="str">
        <f>IFERROR(_xlfn.XLOOKUP($A305,'Raw Data'!$G:$G,'Raw Data'!AG:AG),"")</f>
        <v/>
      </c>
      <c r="O305" s="105" t="str">
        <f>IFERROR(1-SUMIF('Plant BD'!$B:$B,$A305,'Plant BD'!$AM:$AM)/($AA305+SUMIF('Plant BD'!$B:$B,$A305,'Plant BD'!$AM:$AM)),"")</f>
        <v/>
      </c>
      <c r="P305" s="105"/>
      <c r="Q305" s="106"/>
      <c r="R305" s="105" t="str">
        <f>IFERROR(1-SUMIF('Grid BD'!$B:$B,$A305,'Grid BD'!$AE:$AE)/($AA305+SUMIF('Grid BD'!$B:$B,$A305,'Grid BD'!$AE:$AE)),"")</f>
        <v/>
      </c>
      <c r="T305" s="106"/>
      <c r="U305" s="107" t="str">
        <f t="shared" si="17"/>
        <v/>
      </c>
      <c r="V305" s="107"/>
      <c r="W305" s="108" t="str">
        <f t="shared" si="18"/>
        <v/>
      </c>
      <c r="X305" s="101" t="str">
        <f>IFERROR(_xlfn.XLOOKUP($A305,'Raw Data'!$G:$G,'Raw Data'!AI:AI),"")</f>
        <v/>
      </c>
      <c r="Y305" s="101" t="str">
        <f>IFERROR(_xlfn.XLOOKUP($A305,'Raw Data'!$G:$G,'Raw Data'!AJ:AJ),"")</f>
        <v/>
      </c>
      <c r="Z305" s="101" t="str">
        <f>IFERROR(_xlfn.XLOOKUP($A305,'Raw Data'!$G:$G,'Raw Data'!AK:AK),"")</f>
        <v/>
      </c>
      <c r="AA305" s="101" t="str">
        <f>IFERROR(_xlfn.XLOOKUP($A305,'Raw Data'!$G:$G,'Raw Data'!$AL:$AL)*(1+(_xlfn.XLOOKUP(Table13[[#This Row],[Month Year]],JMR!$A:$A,JMR!$J:$J))),"")</f>
        <v/>
      </c>
      <c r="AB305" s="101" t="str">
        <f>IFERROR(_xlfn.XLOOKUP($A305,'Raw Data'!$G:$G,'Raw Data'!H:H),"")</f>
        <v/>
      </c>
      <c r="AC305" s="67">
        <f>IFERROR(_xlfn.XLOOKUP($D305,'Modelling New'!$D:$D,'Modelling New'!P:P),"")</f>
        <v>5.9322580645161294</v>
      </c>
      <c r="AD305" s="101">
        <f>IFERROR(_xlfn.XLOOKUP($D305,'Modelling New'!$D:$D,'Modelling New'!$T:$T)*1000,"")</f>
        <v>34475.662965312498</v>
      </c>
      <c r="AE305" s="109">
        <f>IFERROR(_xlfn.XLOOKUP($D305,'Modelling New'!$D:$D,'Modelling New'!O:O),"")</f>
        <v>0.72455188248968172</v>
      </c>
      <c r="AF305" s="108">
        <f>IFERROR(_xlfn.XLOOKUP($D305,'Modelling New'!$D:$D,'Modelling New'!W:W),"")</f>
        <v>0.17909286450248987</v>
      </c>
      <c r="AG305" s="108">
        <f>IFERROR(_xlfn.XLOOKUP($D305,'Modelling New'!$D:$D,'Modelling New'!AE:AE),"")</f>
        <v>0.98040000000000005</v>
      </c>
      <c r="AH305" s="128">
        <f>IFERROR(_xlfn.XLOOKUP($D305,'Modelling New'!$D:$D,'Modelling New'!AF:AF),"")</f>
        <v>0.98</v>
      </c>
      <c r="AN305" s="105"/>
      <c r="AO305" s="108"/>
      <c r="AP305" s="108"/>
      <c r="AQ305" s="108"/>
      <c r="AR305" s="101">
        <f>'Basic Data'!$B$98/1000</f>
        <v>8.0208999999999993</v>
      </c>
      <c r="AT305" s="7" t="str">
        <f>IFERROR(_xlfn.XLOOKUP(Table13[[#This Row],[Date]],'Raw Data'!$G:$G,'Raw Data'!$AN:$AN),"")</f>
        <v/>
      </c>
      <c r="AU305" s="7">
        <f>IFERROR(_xlfn.XLOOKUP(Table13[[#This Row],[Month Year]],'Modelling New'!$D:$D,'Modelling New'!$AO:$AO),"")</f>
        <v>8</v>
      </c>
      <c r="AV305" s="7">
        <f>SUMIF('Curtailment Records'!$C:$C,Table13[[#This Row],[Date]],'Curtailment Records'!$R:$R)/1000</f>
        <v>0</v>
      </c>
    </row>
    <row r="306" spans="1:48" x14ac:dyDescent="0.3">
      <c r="A306" s="100">
        <f t="shared" si="19"/>
        <v>46049</v>
      </c>
      <c r="B306" s="101">
        <f>YEAR(Table13[[#This Row],[Date]])+IF(MONTH(Table13[[#This Row],[Date]])&gt;=4,1,0)</f>
        <v>2026</v>
      </c>
      <c r="C306" s="7">
        <f>YEAR(Table13[[#This Row],[Date]])</f>
        <v>2026</v>
      </c>
      <c r="D306" s="102">
        <f>Table13[[#This Row],[Date]]-DAY(Table13[[#This Row],[Date]])+1</f>
        <v>46023</v>
      </c>
      <c r="E306" s="7">
        <f t="shared" si="16"/>
        <v>31</v>
      </c>
      <c r="F306" s="103" t="str">
        <f>IFERROR(_xlfn.XLOOKUP($A306,'Raw Data'!$G:$G,'Raw Data'!$AM:$AM),"")</f>
        <v/>
      </c>
      <c r="G306" s="104" t="str">
        <f>IFERROR(_xlfn.XLOOKUP($A306,'Raw Data'!$G:$G,'Raw Data'!$AB:$AB),"")</f>
        <v/>
      </c>
      <c r="H306" s="104"/>
      <c r="I306" s="104" t="str">
        <f>IFERROR(_xlfn.XLOOKUP($A306,'Raw Data'!$G:$G,'Raw Data'!$AC:$AC),"")</f>
        <v/>
      </c>
      <c r="J306" s="104"/>
      <c r="K306" s="104" t="str">
        <f>IFERROR(_xlfn.XLOOKUP($A306,'Raw Data'!$G:$G,'Raw Data'!AD:AD),"")</f>
        <v/>
      </c>
      <c r="L306" s="104" t="str">
        <f>IFERROR(_xlfn.XLOOKUP($A306,'Raw Data'!$G:$G,'Raw Data'!AE:AE),"")</f>
        <v/>
      </c>
      <c r="M306" s="104" t="str">
        <f>IFERROR(_xlfn.XLOOKUP($A306,'Raw Data'!$G:$G,'Raw Data'!AF:AF),"")</f>
        <v/>
      </c>
      <c r="N306" s="104" t="str">
        <f>IFERROR(_xlfn.XLOOKUP($A306,'Raw Data'!$G:$G,'Raw Data'!AG:AG),"")</f>
        <v/>
      </c>
      <c r="O306" s="105" t="str">
        <f>IFERROR(1-SUMIF('Plant BD'!$B:$B,$A306,'Plant BD'!$AM:$AM)/($AA306+SUMIF('Plant BD'!$B:$B,$A306,'Plant BD'!$AM:$AM)),"")</f>
        <v/>
      </c>
      <c r="P306" s="105"/>
      <c r="Q306" s="106"/>
      <c r="R306" s="105" t="str">
        <f>IFERROR(1-SUMIF('Grid BD'!$B:$B,$A306,'Grid BD'!$AE:$AE)/($AA306+SUMIF('Grid BD'!$B:$B,$A306,'Grid BD'!$AE:$AE)),"")</f>
        <v/>
      </c>
      <c r="T306" s="106"/>
      <c r="U306" s="107" t="str">
        <f t="shared" si="17"/>
        <v/>
      </c>
      <c r="V306" s="107"/>
      <c r="W306" s="108" t="str">
        <f t="shared" si="18"/>
        <v/>
      </c>
      <c r="X306" s="101" t="str">
        <f>IFERROR(_xlfn.XLOOKUP($A306,'Raw Data'!$G:$G,'Raw Data'!AI:AI),"")</f>
        <v/>
      </c>
      <c r="Y306" s="101" t="str">
        <f>IFERROR(_xlfn.XLOOKUP($A306,'Raw Data'!$G:$G,'Raw Data'!AJ:AJ),"")</f>
        <v/>
      </c>
      <c r="Z306" s="101" t="str">
        <f>IFERROR(_xlfn.XLOOKUP($A306,'Raw Data'!$G:$G,'Raw Data'!AK:AK),"")</f>
        <v/>
      </c>
      <c r="AA306" s="101" t="str">
        <f>IFERROR(_xlfn.XLOOKUP($A306,'Raw Data'!$G:$G,'Raw Data'!$AL:$AL)*(1+(_xlfn.XLOOKUP(Table13[[#This Row],[Month Year]],JMR!$A:$A,JMR!$J:$J))),"")</f>
        <v/>
      </c>
      <c r="AB306" s="101" t="str">
        <f>IFERROR(_xlfn.XLOOKUP($A306,'Raw Data'!$G:$G,'Raw Data'!H:H),"")</f>
        <v/>
      </c>
      <c r="AC306" s="67">
        <f>IFERROR(_xlfn.XLOOKUP($D306,'Modelling New'!$D:$D,'Modelling New'!P:P),"")</f>
        <v>5.9322580645161294</v>
      </c>
      <c r="AD306" s="101">
        <f>IFERROR(_xlfn.XLOOKUP($D306,'Modelling New'!$D:$D,'Modelling New'!$T:$T)*1000,"")</f>
        <v>34475.662965312498</v>
      </c>
      <c r="AE306" s="109">
        <f>IFERROR(_xlfn.XLOOKUP($D306,'Modelling New'!$D:$D,'Modelling New'!O:O),"")</f>
        <v>0.72455188248968172</v>
      </c>
      <c r="AF306" s="108">
        <f>IFERROR(_xlfn.XLOOKUP($D306,'Modelling New'!$D:$D,'Modelling New'!W:W),"")</f>
        <v>0.17909286450248987</v>
      </c>
      <c r="AG306" s="108">
        <f>IFERROR(_xlfn.XLOOKUP($D306,'Modelling New'!$D:$D,'Modelling New'!AE:AE),"")</f>
        <v>0.98040000000000005</v>
      </c>
      <c r="AH306" s="128">
        <f>IFERROR(_xlfn.XLOOKUP($D306,'Modelling New'!$D:$D,'Modelling New'!AF:AF),"")</f>
        <v>0.98</v>
      </c>
      <c r="AN306" s="105"/>
      <c r="AO306" s="108"/>
      <c r="AP306" s="108"/>
      <c r="AQ306" s="108"/>
      <c r="AR306" s="101">
        <f>'Basic Data'!$B$98/1000</f>
        <v>8.0208999999999993</v>
      </c>
      <c r="AT306" s="7" t="str">
        <f>IFERROR(_xlfn.XLOOKUP(Table13[[#This Row],[Date]],'Raw Data'!$G:$G,'Raw Data'!$AN:$AN),"")</f>
        <v/>
      </c>
      <c r="AU306" s="7">
        <f>IFERROR(_xlfn.XLOOKUP(Table13[[#This Row],[Month Year]],'Modelling New'!$D:$D,'Modelling New'!$AO:$AO),"")</f>
        <v>8</v>
      </c>
      <c r="AV306" s="7">
        <f>SUMIF('Curtailment Records'!$C:$C,Table13[[#This Row],[Date]],'Curtailment Records'!$R:$R)/1000</f>
        <v>0</v>
      </c>
    </row>
    <row r="307" spans="1:48" x14ac:dyDescent="0.3">
      <c r="A307" s="100">
        <f t="shared" si="19"/>
        <v>46050</v>
      </c>
      <c r="B307" s="101">
        <f>YEAR(Table13[[#This Row],[Date]])+IF(MONTH(Table13[[#This Row],[Date]])&gt;=4,1,0)</f>
        <v>2026</v>
      </c>
      <c r="C307" s="7">
        <f>YEAR(Table13[[#This Row],[Date]])</f>
        <v>2026</v>
      </c>
      <c r="D307" s="102">
        <f>Table13[[#This Row],[Date]]-DAY(Table13[[#This Row],[Date]])+1</f>
        <v>46023</v>
      </c>
      <c r="E307" s="7">
        <f t="shared" si="16"/>
        <v>31</v>
      </c>
      <c r="F307" s="103" t="str">
        <f>IFERROR(_xlfn.XLOOKUP($A307,'Raw Data'!$G:$G,'Raw Data'!$AM:$AM),"")</f>
        <v/>
      </c>
      <c r="G307" s="104" t="str">
        <f>IFERROR(_xlfn.XLOOKUP($A307,'Raw Data'!$G:$G,'Raw Data'!$AB:$AB),"")</f>
        <v/>
      </c>
      <c r="H307" s="104"/>
      <c r="I307" s="104" t="str">
        <f>IFERROR(_xlfn.XLOOKUP($A307,'Raw Data'!$G:$G,'Raw Data'!$AC:$AC),"")</f>
        <v/>
      </c>
      <c r="J307" s="104"/>
      <c r="K307" s="104" t="str">
        <f>IFERROR(_xlfn.XLOOKUP($A307,'Raw Data'!$G:$G,'Raw Data'!AD:AD),"")</f>
        <v/>
      </c>
      <c r="L307" s="104" t="str">
        <f>IFERROR(_xlfn.XLOOKUP($A307,'Raw Data'!$G:$G,'Raw Data'!AE:AE),"")</f>
        <v/>
      </c>
      <c r="M307" s="104" t="str">
        <f>IFERROR(_xlfn.XLOOKUP($A307,'Raw Data'!$G:$G,'Raw Data'!AF:AF),"")</f>
        <v/>
      </c>
      <c r="N307" s="104" t="str">
        <f>IFERROR(_xlfn.XLOOKUP($A307,'Raw Data'!$G:$G,'Raw Data'!AG:AG),"")</f>
        <v/>
      </c>
      <c r="O307" s="105" t="str">
        <f>IFERROR(1-SUMIF('Plant BD'!$B:$B,$A307,'Plant BD'!$AM:$AM)/($AA307+SUMIF('Plant BD'!$B:$B,$A307,'Plant BD'!$AM:$AM)),"")</f>
        <v/>
      </c>
      <c r="P307" s="105"/>
      <c r="Q307" s="106"/>
      <c r="R307" s="105" t="str">
        <f>IFERROR(1-SUMIF('Grid BD'!$B:$B,$A307,'Grid BD'!$AE:$AE)/($AA307+SUMIF('Grid BD'!$B:$B,$A307,'Grid BD'!$AE:$AE)),"")</f>
        <v/>
      </c>
      <c r="T307" s="106"/>
      <c r="U307" s="107" t="str">
        <f t="shared" si="17"/>
        <v/>
      </c>
      <c r="V307" s="107"/>
      <c r="W307" s="108" t="str">
        <f t="shared" si="18"/>
        <v/>
      </c>
      <c r="X307" s="101" t="str">
        <f>IFERROR(_xlfn.XLOOKUP($A307,'Raw Data'!$G:$G,'Raw Data'!AI:AI),"")</f>
        <v/>
      </c>
      <c r="Y307" s="101" t="str">
        <f>IFERROR(_xlfn.XLOOKUP($A307,'Raw Data'!$G:$G,'Raw Data'!AJ:AJ),"")</f>
        <v/>
      </c>
      <c r="Z307" s="101" t="str">
        <f>IFERROR(_xlfn.XLOOKUP($A307,'Raw Data'!$G:$G,'Raw Data'!AK:AK),"")</f>
        <v/>
      </c>
      <c r="AA307" s="101" t="str">
        <f>IFERROR(_xlfn.XLOOKUP($A307,'Raw Data'!$G:$G,'Raw Data'!$AL:$AL)*(1+(_xlfn.XLOOKUP(Table13[[#This Row],[Month Year]],JMR!$A:$A,JMR!$J:$J))),"")</f>
        <v/>
      </c>
      <c r="AB307" s="101" t="str">
        <f>IFERROR(_xlfn.XLOOKUP($A307,'Raw Data'!$G:$G,'Raw Data'!H:H),"")</f>
        <v/>
      </c>
      <c r="AC307" s="67">
        <f>IFERROR(_xlfn.XLOOKUP($D307,'Modelling New'!$D:$D,'Modelling New'!P:P),"")</f>
        <v>5.9322580645161294</v>
      </c>
      <c r="AD307" s="101">
        <f>IFERROR(_xlfn.XLOOKUP($D307,'Modelling New'!$D:$D,'Modelling New'!$T:$T)*1000,"")</f>
        <v>34475.662965312498</v>
      </c>
      <c r="AE307" s="109">
        <f>IFERROR(_xlfn.XLOOKUP($D307,'Modelling New'!$D:$D,'Modelling New'!O:O),"")</f>
        <v>0.72455188248968172</v>
      </c>
      <c r="AF307" s="108">
        <f>IFERROR(_xlfn.XLOOKUP($D307,'Modelling New'!$D:$D,'Modelling New'!W:W),"")</f>
        <v>0.17909286450248987</v>
      </c>
      <c r="AG307" s="108">
        <f>IFERROR(_xlfn.XLOOKUP($D307,'Modelling New'!$D:$D,'Modelling New'!AE:AE),"")</f>
        <v>0.98040000000000005</v>
      </c>
      <c r="AH307" s="128">
        <f>IFERROR(_xlfn.XLOOKUP($D307,'Modelling New'!$D:$D,'Modelling New'!AF:AF),"")</f>
        <v>0.98</v>
      </c>
      <c r="AN307" s="105"/>
      <c r="AO307" s="108"/>
      <c r="AP307" s="108"/>
      <c r="AQ307" s="108"/>
      <c r="AR307" s="101">
        <f>'Basic Data'!$B$98/1000</f>
        <v>8.0208999999999993</v>
      </c>
      <c r="AT307" s="7" t="str">
        <f>IFERROR(_xlfn.XLOOKUP(Table13[[#This Row],[Date]],'Raw Data'!$G:$G,'Raw Data'!$AN:$AN),"")</f>
        <v/>
      </c>
      <c r="AU307" s="7">
        <f>IFERROR(_xlfn.XLOOKUP(Table13[[#This Row],[Month Year]],'Modelling New'!$D:$D,'Modelling New'!$AO:$AO),"")</f>
        <v>8</v>
      </c>
      <c r="AV307" s="7">
        <f>SUMIF('Curtailment Records'!$C:$C,Table13[[#This Row],[Date]],'Curtailment Records'!$R:$R)/1000</f>
        <v>0</v>
      </c>
    </row>
    <row r="308" spans="1:48" x14ac:dyDescent="0.3">
      <c r="A308" s="100">
        <f t="shared" si="19"/>
        <v>46051</v>
      </c>
      <c r="B308" s="101">
        <f>YEAR(Table13[[#This Row],[Date]])+IF(MONTH(Table13[[#This Row],[Date]])&gt;=4,1,0)</f>
        <v>2026</v>
      </c>
      <c r="C308" s="7">
        <f>YEAR(Table13[[#This Row],[Date]])</f>
        <v>2026</v>
      </c>
      <c r="D308" s="102">
        <f>Table13[[#This Row],[Date]]-DAY(Table13[[#This Row],[Date]])+1</f>
        <v>46023</v>
      </c>
      <c r="E308" s="7">
        <f t="shared" si="16"/>
        <v>31</v>
      </c>
      <c r="F308" s="103" t="str">
        <f>IFERROR(_xlfn.XLOOKUP($A308,'Raw Data'!$G:$G,'Raw Data'!$AM:$AM),"")</f>
        <v/>
      </c>
      <c r="G308" s="104" t="str">
        <f>IFERROR(_xlfn.XLOOKUP($A308,'Raw Data'!$G:$G,'Raw Data'!$AB:$AB),"")</f>
        <v/>
      </c>
      <c r="H308" s="104"/>
      <c r="I308" s="104" t="str">
        <f>IFERROR(_xlfn.XLOOKUP($A308,'Raw Data'!$G:$G,'Raw Data'!$AC:$AC),"")</f>
        <v/>
      </c>
      <c r="J308" s="104"/>
      <c r="K308" s="104" t="str">
        <f>IFERROR(_xlfn.XLOOKUP($A308,'Raw Data'!$G:$G,'Raw Data'!AD:AD),"")</f>
        <v/>
      </c>
      <c r="L308" s="104" t="str">
        <f>IFERROR(_xlfn.XLOOKUP($A308,'Raw Data'!$G:$G,'Raw Data'!AE:AE),"")</f>
        <v/>
      </c>
      <c r="M308" s="104" t="str">
        <f>IFERROR(_xlfn.XLOOKUP($A308,'Raw Data'!$G:$G,'Raw Data'!AF:AF),"")</f>
        <v/>
      </c>
      <c r="N308" s="104" t="str">
        <f>IFERROR(_xlfn.XLOOKUP($A308,'Raw Data'!$G:$G,'Raw Data'!AG:AG),"")</f>
        <v/>
      </c>
      <c r="O308" s="105" t="str">
        <f>IFERROR(1-SUMIF('Plant BD'!$B:$B,$A308,'Plant BD'!$AM:$AM)/($AA308+SUMIF('Plant BD'!$B:$B,$A308,'Plant BD'!$AM:$AM)),"")</f>
        <v/>
      </c>
      <c r="P308" s="105"/>
      <c r="Q308" s="106"/>
      <c r="R308" s="105" t="str">
        <f>IFERROR(1-SUMIF('Grid BD'!$B:$B,$A308,'Grid BD'!$AE:$AE)/($AA308+SUMIF('Grid BD'!$B:$B,$A308,'Grid BD'!$AE:$AE)),"")</f>
        <v/>
      </c>
      <c r="T308" s="106"/>
      <c r="U308" s="107" t="str">
        <f t="shared" si="17"/>
        <v/>
      </c>
      <c r="V308" s="107"/>
      <c r="W308" s="108" t="str">
        <f t="shared" si="18"/>
        <v/>
      </c>
      <c r="X308" s="101" t="str">
        <f>IFERROR(_xlfn.XLOOKUP($A308,'Raw Data'!$G:$G,'Raw Data'!AI:AI),"")</f>
        <v/>
      </c>
      <c r="Y308" s="101" t="str">
        <f>IFERROR(_xlfn.XLOOKUP($A308,'Raw Data'!$G:$G,'Raw Data'!AJ:AJ),"")</f>
        <v/>
      </c>
      <c r="Z308" s="101" t="str">
        <f>IFERROR(_xlfn.XLOOKUP($A308,'Raw Data'!$G:$G,'Raw Data'!AK:AK),"")</f>
        <v/>
      </c>
      <c r="AA308" s="101" t="str">
        <f>IFERROR(_xlfn.XLOOKUP($A308,'Raw Data'!$G:$G,'Raw Data'!$AL:$AL)*(1+(_xlfn.XLOOKUP(Table13[[#This Row],[Month Year]],JMR!$A:$A,JMR!$J:$J))),"")</f>
        <v/>
      </c>
      <c r="AB308" s="101" t="str">
        <f>IFERROR(_xlfn.XLOOKUP($A308,'Raw Data'!$G:$G,'Raw Data'!H:H),"")</f>
        <v/>
      </c>
      <c r="AC308" s="67">
        <f>IFERROR(_xlfn.XLOOKUP($D308,'Modelling New'!$D:$D,'Modelling New'!P:P),"")</f>
        <v>5.9322580645161294</v>
      </c>
      <c r="AD308" s="101">
        <f>IFERROR(_xlfn.XLOOKUP($D308,'Modelling New'!$D:$D,'Modelling New'!$T:$T)*1000,"")</f>
        <v>34475.662965312498</v>
      </c>
      <c r="AE308" s="109">
        <f>IFERROR(_xlfn.XLOOKUP($D308,'Modelling New'!$D:$D,'Modelling New'!O:O),"")</f>
        <v>0.72455188248968172</v>
      </c>
      <c r="AF308" s="108">
        <f>IFERROR(_xlfn.XLOOKUP($D308,'Modelling New'!$D:$D,'Modelling New'!W:W),"")</f>
        <v>0.17909286450248987</v>
      </c>
      <c r="AG308" s="108">
        <f>IFERROR(_xlfn.XLOOKUP($D308,'Modelling New'!$D:$D,'Modelling New'!AE:AE),"")</f>
        <v>0.98040000000000005</v>
      </c>
      <c r="AH308" s="128">
        <f>IFERROR(_xlfn.XLOOKUP($D308,'Modelling New'!$D:$D,'Modelling New'!AF:AF),"")</f>
        <v>0.98</v>
      </c>
      <c r="AN308" s="105"/>
      <c r="AO308" s="108"/>
      <c r="AP308" s="108"/>
      <c r="AQ308" s="108"/>
      <c r="AR308" s="101">
        <f>'Basic Data'!$B$98/1000</f>
        <v>8.0208999999999993</v>
      </c>
      <c r="AT308" s="7" t="str">
        <f>IFERROR(_xlfn.XLOOKUP(Table13[[#This Row],[Date]],'Raw Data'!$G:$G,'Raw Data'!$AN:$AN),"")</f>
        <v/>
      </c>
      <c r="AU308" s="7">
        <f>IFERROR(_xlfn.XLOOKUP(Table13[[#This Row],[Month Year]],'Modelling New'!$D:$D,'Modelling New'!$AO:$AO),"")</f>
        <v>8</v>
      </c>
      <c r="AV308" s="7">
        <f>SUMIF('Curtailment Records'!$C:$C,Table13[[#This Row],[Date]],'Curtailment Records'!$R:$R)/1000</f>
        <v>0</v>
      </c>
    </row>
    <row r="309" spans="1:48" x14ac:dyDescent="0.3">
      <c r="A309" s="100">
        <f t="shared" si="19"/>
        <v>46052</v>
      </c>
      <c r="B309" s="101">
        <f>YEAR(Table13[[#This Row],[Date]])+IF(MONTH(Table13[[#This Row],[Date]])&gt;=4,1,0)</f>
        <v>2026</v>
      </c>
      <c r="C309" s="7">
        <f>YEAR(Table13[[#This Row],[Date]])</f>
        <v>2026</v>
      </c>
      <c r="D309" s="102">
        <f>Table13[[#This Row],[Date]]-DAY(Table13[[#This Row],[Date]])+1</f>
        <v>46023</v>
      </c>
      <c r="E309" s="7">
        <f t="shared" ref="E309:E369" si="20">DAY(EOMONTH(A309,0))</f>
        <v>31</v>
      </c>
      <c r="F309" s="103" t="str">
        <f>IFERROR(_xlfn.XLOOKUP($A309,'Raw Data'!$G:$G,'Raw Data'!$AM:$AM),"")</f>
        <v/>
      </c>
      <c r="G309" s="104" t="str">
        <f>IFERROR(_xlfn.XLOOKUP($A309,'Raw Data'!$G:$G,'Raw Data'!$AB:$AB),"")</f>
        <v/>
      </c>
      <c r="H309" s="104"/>
      <c r="I309" s="104" t="str">
        <f>IFERROR(_xlfn.XLOOKUP($A309,'Raw Data'!$G:$G,'Raw Data'!$AC:$AC),"")</f>
        <v/>
      </c>
      <c r="J309" s="104"/>
      <c r="K309" s="104" t="str">
        <f>IFERROR(_xlfn.XLOOKUP($A309,'Raw Data'!$G:$G,'Raw Data'!AD:AD),"")</f>
        <v/>
      </c>
      <c r="L309" s="104" t="str">
        <f>IFERROR(_xlfn.XLOOKUP($A309,'Raw Data'!$G:$G,'Raw Data'!AE:AE),"")</f>
        <v/>
      </c>
      <c r="M309" s="104" t="str">
        <f>IFERROR(_xlfn.XLOOKUP($A309,'Raw Data'!$G:$G,'Raw Data'!AF:AF),"")</f>
        <v/>
      </c>
      <c r="N309" s="104" t="str">
        <f>IFERROR(_xlfn.XLOOKUP($A309,'Raw Data'!$G:$G,'Raw Data'!AG:AG),"")</f>
        <v/>
      </c>
      <c r="O309" s="105" t="str">
        <f>IFERROR(1-SUMIF('Plant BD'!$B:$B,$A309,'Plant BD'!$AM:$AM)/($AA309+SUMIF('Plant BD'!$B:$B,$A309,'Plant BD'!$AM:$AM)),"")</f>
        <v/>
      </c>
      <c r="P309" s="105"/>
      <c r="Q309" s="106"/>
      <c r="R309" s="105" t="str">
        <f>IFERROR(1-SUMIF('Grid BD'!$B:$B,$A309,'Grid BD'!$AE:$AE)/($AA309+SUMIF('Grid BD'!$B:$B,$A309,'Grid BD'!$AE:$AE)),"")</f>
        <v/>
      </c>
      <c r="T309" s="106"/>
      <c r="U309" s="107" t="str">
        <f t="shared" ref="U309:U369" si="21">IFERROR(AA309/I309/AB309/1000,"")</f>
        <v/>
      </c>
      <c r="V309" s="107"/>
      <c r="W309" s="108" t="str">
        <f t="shared" ref="W309:W369" si="22">IFERROR(AA309/(24*AB309*1000),"")</f>
        <v/>
      </c>
      <c r="X309" s="101" t="str">
        <f>IFERROR(_xlfn.XLOOKUP($A309,'Raw Data'!$G:$G,'Raw Data'!AI:AI),"")</f>
        <v/>
      </c>
      <c r="Y309" s="101" t="str">
        <f>IFERROR(_xlfn.XLOOKUP($A309,'Raw Data'!$G:$G,'Raw Data'!AJ:AJ),"")</f>
        <v/>
      </c>
      <c r="Z309" s="101" t="str">
        <f>IFERROR(_xlfn.XLOOKUP($A309,'Raw Data'!$G:$G,'Raw Data'!AK:AK),"")</f>
        <v/>
      </c>
      <c r="AA309" s="101" t="str">
        <f>IFERROR(_xlfn.XLOOKUP($A309,'Raw Data'!$G:$G,'Raw Data'!$AL:$AL)*(1+(_xlfn.XLOOKUP(Table13[[#This Row],[Month Year]],JMR!$A:$A,JMR!$J:$J))),"")</f>
        <v/>
      </c>
      <c r="AB309" s="101" t="str">
        <f>IFERROR(_xlfn.XLOOKUP($A309,'Raw Data'!$G:$G,'Raw Data'!H:H),"")</f>
        <v/>
      </c>
      <c r="AC309" s="67">
        <f>IFERROR(_xlfn.XLOOKUP($D309,'Modelling New'!$D:$D,'Modelling New'!P:P),"")</f>
        <v>5.9322580645161294</v>
      </c>
      <c r="AD309" s="101">
        <f>IFERROR(_xlfn.XLOOKUP($D309,'Modelling New'!$D:$D,'Modelling New'!$T:$T)*1000,"")</f>
        <v>34475.662965312498</v>
      </c>
      <c r="AE309" s="109">
        <f>IFERROR(_xlfn.XLOOKUP($D309,'Modelling New'!$D:$D,'Modelling New'!O:O),"")</f>
        <v>0.72455188248968172</v>
      </c>
      <c r="AF309" s="108">
        <f>IFERROR(_xlfn.XLOOKUP($D309,'Modelling New'!$D:$D,'Modelling New'!W:W),"")</f>
        <v>0.17909286450248987</v>
      </c>
      <c r="AG309" s="108">
        <f>IFERROR(_xlfn.XLOOKUP($D309,'Modelling New'!$D:$D,'Modelling New'!AE:AE),"")</f>
        <v>0.98040000000000005</v>
      </c>
      <c r="AH309" s="128">
        <f>IFERROR(_xlfn.XLOOKUP($D309,'Modelling New'!$D:$D,'Modelling New'!AF:AF),"")</f>
        <v>0.98</v>
      </c>
      <c r="AN309" s="105"/>
      <c r="AO309" s="108"/>
      <c r="AP309" s="108"/>
      <c r="AQ309" s="108"/>
      <c r="AR309" s="101">
        <f>'Basic Data'!$B$98/1000</f>
        <v>8.0208999999999993</v>
      </c>
      <c r="AT309" s="7" t="str">
        <f>IFERROR(_xlfn.XLOOKUP(Table13[[#This Row],[Date]],'Raw Data'!$G:$G,'Raw Data'!$AN:$AN),"")</f>
        <v/>
      </c>
      <c r="AU309" s="7">
        <f>IFERROR(_xlfn.XLOOKUP(Table13[[#This Row],[Month Year]],'Modelling New'!$D:$D,'Modelling New'!$AO:$AO),"")</f>
        <v>8</v>
      </c>
      <c r="AV309" s="7">
        <f>SUMIF('Curtailment Records'!$C:$C,Table13[[#This Row],[Date]],'Curtailment Records'!$R:$R)/1000</f>
        <v>0</v>
      </c>
    </row>
    <row r="310" spans="1:48" x14ac:dyDescent="0.3">
      <c r="A310" s="100">
        <f t="shared" ref="A310:A369" si="23">A309+1</f>
        <v>46053</v>
      </c>
      <c r="B310" s="101">
        <f>YEAR(Table13[[#This Row],[Date]])+IF(MONTH(Table13[[#This Row],[Date]])&gt;=4,1,0)</f>
        <v>2026</v>
      </c>
      <c r="C310" s="7">
        <f>YEAR(Table13[[#This Row],[Date]])</f>
        <v>2026</v>
      </c>
      <c r="D310" s="102">
        <f>Table13[[#This Row],[Date]]-DAY(Table13[[#This Row],[Date]])+1</f>
        <v>46023</v>
      </c>
      <c r="E310" s="7">
        <f t="shared" si="20"/>
        <v>31</v>
      </c>
      <c r="F310" s="103" t="str">
        <f>IFERROR(_xlfn.XLOOKUP($A310,'Raw Data'!$G:$G,'Raw Data'!$AM:$AM),"")</f>
        <v/>
      </c>
      <c r="G310" s="104" t="str">
        <f>IFERROR(_xlfn.XLOOKUP($A310,'Raw Data'!$G:$G,'Raw Data'!$AB:$AB),"")</f>
        <v/>
      </c>
      <c r="H310" s="104"/>
      <c r="I310" s="104" t="str">
        <f>IFERROR(_xlfn.XLOOKUP($A310,'Raw Data'!$G:$G,'Raw Data'!$AC:$AC),"")</f>
        <v/>
      </c>
      <c r="J310" s="104"/>
      <c r="K310" s="104" t="str">
        <f>IFERROR(_xlfn.XLOOKUP($A310,'Raw Data'!$G:$G,'Raw Data'!AD:AD),"")</f>
        <v/>
      </c>
      <c r="L310" s="104" t="str">
        <f>IFERROR(_xlfn.XLOOKUP($A310,'Raw Data'!$G:$G,'Raw Data'!AE:AE),"")</f>
        <v/>
      </c>
      <c r="M310" s="104" t="str">
        <f>IFERROR(_xlfn.XLOOKUP($A310,'Raw Data'!$G:$G,'Raw Data'!AF:AF),"")</f>
        <v/>
      </c>
      <c r="N310" s="104" t="str">
        <f>IFERROR(_xlfn.XLOOKUP($A310,'Raw Data'!$G:$G,'Raw Data'!AG:AG),"")</f>
        <v/>
      </c>
      <c r="O310" s="105" t="str">
        <f>IFERROR(1-SUMIF('Plant BD'!$B:$B,$A310,'Plant BD'!$AM:$AM)/($AA310+SUMIF('Plant BD'!$B:$B,$A310,'Plant BD'!$AM:$AM)),"")</f>
        <v/>
      </c>
      <c r="P310" s="105"/>
      <c r="Q310" s="106"/>
      <c r="R310" s="105" t="str">
        <f>IFERROR(1-SUMIF('Grid BD'!$B:$B,$A310,'Grid BD'!$AE:$AE)/($AA310+SUMIF('Grid BD'!$B:$B,$A310,'Grid BD'!$AE:$AE)),"")</f>
        <v/>
      </c>
      <c r="T310" s="106"/>
      <c r="U310" s="107" t="str">
        <f t="shared" si="21"/>
        <v/>
      </c>
      <c r="V310" s="107"/>
      <c r="W310" s="108" t="str">
        <f t="shared" si="22"/>
        <v/>
      </c>
      <c r="X310" s="101" t="str">
        <f>IFERROR(_xlfn.XLOOKUP($A310,'Raw Data'!$G:$G,'Raw Data'!AI:AI),"")</f>
        <v/>
      </c>
      <c r="Y310" s="101" t="str">
        <f>IFERROR(_xlfn.XLOOKUP($A310,'Raw Data'!$G:$G,'Raw Data'!AJ:AJ),"")</f>
        <v/>
      </c>
      <c r="Z310" s="101" t="str">
        <f>IFERROR(_xlfn.XLOOKUP($A310,'Raw Data'!$G:$G,'Raw Data'!AK:AK),"")</f>
        <v/>
      </c>
      <c r="AA310" s="101" t="str">
        <f>IFERROR(_xlfn.XLOOKUP($A310,'Raw Data'!$G:$G,'Raw Data'!$AL:$AL)*(1+(_xlfn.XLOOKUP(Table13[[#This Row],[Month Year]],JMR!$A:$A,JMR!$J:$J))),"")</f>
        <v/>
      </c>
      <c r="AB310" s="101" t="str">
        <f>IFERROR(_xlfn.XLOOKUP($A310,'Raw Data'!$G:$G,'Raw Data'!H:H),"")</f>
        <v/>
      </c>
      <c r="AC310" s="67">
        <f>IFERROR(_xlfn.XLOOKUP($D310,'Modelling New'!$D:$D,'Modelling New'!P:P),"")</f>
        <v>5.9322580645161294</v>
      </c>
      <c r="AD310" s="101">
        <f>IFERROR(_xlfn.XLOOKUP($D310,'Modelling New'!$D:$D,'Modelling New'!$T:$T)*1000,"")</f>
        <v>34475.662965312498</v>
      </c>
      <c r="AE310" s="109">
        <f>IFERROR(_xlfn.XLOOKUP($D310,'Modelling New'!$D:$D,'Modelling New'!O:O),"")</f>
        <v>0.72455188248968172</v>
      </c>
      <c r="AF310" s="108">
        <f>IFERROR(_xlfn.XLOOKUP($D310,'Modelling New'!$D:$D,'Modelling New'!W:W),"")</f>
        <v>0.17909286450248987</v>
      </c>
      <c r="AG310" s="108">
        <f>IFERROR(_xlfn.XLOOKUP($D310,'Modelling New'!$D:$D,'Modelling New'!AE:AE),"")</f>
        <v>0.98040000000000005</v>
      </c>
      <c r="AH310" s="128">
        <f>IFERROR(_xlfn.XLOOKUP($D310,'Modelling New'!$D:$D,'Modelling New'!AF:AF),"")</f>
        <v>0.98</v>
      </c>
      <c r="AN310" s="105"/>
      <c r="AO310" s="108"/>
      <c r="AP310" s="108"/>
      <c r="AQ310" s="108"/>
      <c r="AR310" s="101">
        <f>'Basic Data'!$B$98/1000</f>
        <v>8.0208999999999993</v>
      </c>
      <c r="AT310" s="7" t="str">
        <f>IFERROR(_xlfn.XLOOKUP(Table13[[#This Row],[Date]],'Raw Data'!$G:$G,'Raw Data'!$AN:$AN),"")</f>
        <v/>
      </c>
      <c r="AU310" s="7">
        <f>IFERROR(_xlfn.XLOOKUP(Table13[[#This Row],[Month Year]],'Modelling New'!$D:$D,'Modelling New'!$AO:$AO),"")</f>
        <v>8</v>
      </c>
      <c r="AV310" s="7">
        <f>SUMIF('Curtailment Records'!$C:$C,Table13[[#This Row],[Date]],'Curtailment Records'!$R:$R)/1000</f>
        <v>0</v>
      </c>
    </row>
    <row r="311" spans="1:48" x14ac:dyDescent="0.3">
      <c r="A311" s="100">
        <f t="shared" si="23"/>
        <v>46054</v>
      </c>
      <c r="B311" s="101">
        <f>YEAR(Table13[[#This Row],[Date]])+IF(MONTH(Table13[[#This Row],[Date]])&gt;=4,1,0)</f>
        <v>2026</v>
      </c>
      <c r="C311" s="7">
        <f>YEAR(Table13[[#This Row],[Date]])</f>
        <v>2026</v>
      </c>
      <c r="D311" s="102">
        <f>Table13[[#This Row],[Date]]-DAY(Table13[[#This Row],[Date]])+1</f>
        <v>46054</v>
      </c>
      <c r="E311" s="7">
        <f t="shared" si="20"/>
        <v>28</v>
      </c>
      <c r="F311" s="103" t="str">
        <f>IFERROR(_xlfn.XLOOKUP($A311,'Raw Data'!$G:$G,'Raw Data'!$AM:$AM),"")</f>
        <v/>
      </c>
      <c r="G311" s="104" t="str">
        <f>IFERROR(_xlfn.XLOOKUP($A311,'Raw Data'!$G:$G,'Raw Data'!$AB:$AB),"")</f>
        <v/>
      </c>
      <c r="H311" s="104"/>
      <c r="I311" s="104" t="str">
        <f>IFERROR(_xlfn.XLOOKUP($A311,'Raw Data'!$G:$G,'Raw Data'!$AC:$AC),"")</f>
        <v/>
      </c>
      <c r="J311" s="104"/>
      <c r="K311" s="104" t="str">
        <f>IFERROR(_xlfn.XLOOKUP($A311,'Raw Data'!$G:$G,'Raw Data'!AD:AD),"")</f>
        <v/>
      </c>
      <c r="L311" s="104" t="str">
        <f>IFERROR(_xlfn.XLOOKUP($A311,'Raw Data'!$G:$G,'Raw Data'!AE:AE),"")</f>
        <v/>
      </c>
      <c r="M311" s="104" t="str">
        <f>IFERROR(_xlfn.XLOOKUP($A311,'Raw Data'!$G:$G,'Raw Data'!AF:AF),"")</f>
        <v/>
      </c>
      <c r="N311" s="104" t="str">
        <f>IFERROR(_xlfn.XLOOKUP($A311,'Raw Data'!$G:$G,'Raw Data'!AG:AG),"")</f>
        <v/>
      </c>
      <c r="O311" s="105" t="str">
        <f>IFERROR(1-SUMIF('Plant BD'!$B:$B,$A311,'Plant BD'!$AM:$AM)/($AA311+SUMIF('Plant BD'!$B:$B,$A311,'Plant BD'!$AM:$AM)),"")</f>
        <v/>
      </c>
      <c r="P311" s="105"/>
      <c r="Q311" s="106"/>
      <c r="R311" s="105" t="str">
        <f>IFERROR(1-SUMIF('Grid BD'!$B:$B,$A311,'Grid BD'!$AE:$AE)/($AA311+SUMIF('Grid BD'!$B:$B,$A311,'Grid BD'!$AE:$AE)),"")</f>
        <v/>
      </c>
      <c r="T311" s="106"/>
      <c r="U311" s="107" t="str">
        <f t="shared" si="21"/>
        <v/>
      </c>
      <c r="V311" s="107"/>
      <c r="W311" s="108" t="str">
        <f t="shared" si="22"/>
        <v/>
      </c>
      <c r="X311" s="101" t="str">
        <f>IFERROR(_xlfn.XLOOKUP($A311,'Raw Data'!$G:$G,'Raw Data'!AI:AI),"")</f>
        <v/>
      </c>
      <c r="Y311" s="101" t="str">
        <f>IFERROR(_xlfn.XLOOKUP($A311,'Raw Data'!$G:$G,'Raw Data'!AJ:AJ),"")</f>
        <v/>
      </c>
      <c r="Z311" s="101" t="str">
        <f>IFERROR(_xlfn.XLOOKUP($A311,'Raw Data'!$G:$G,'Raw Data'!AK:AK),"")</f>
        <v/>
      </c>
      <c r="AA311" s="101" t="str">
        <f>IFERROR(_xlfn.XLOOKUP($A311,'Raw Data'!$G:$G,'Raw Data'!$AL:$AL)*(1+(_xlfn.XLOOKUP(Table13[[#This Row],[Month Year]],JMR!$A:$A,JMR!$J:$J))),"")</f>
        <v/>
      </c>
      <c r="AB311" s="101" t="str">
        <f>IFERROR(_xlfn.XLOOKUP($A311,'Raw Data'!$G:$G,'Raw Data'!H:H),"")</f>
        <v/>
      </c>
      <c r="AC311" s="67">
        <f>IFERROR(_xlfn.XLOOKUP($D311,'Modelling New'!$D:$D,'Modelling New'!P:P),"")</f>
        <v>6.5714285714285712</v>
      </c>
      <c r="AD311" s="101">
        <f>IFERROR(_xlfn.XLOOKUP($D311,'Modelling New'!$D:$D,'Modelling New'!$T:$T)*1000,"")</f>
        <v>33989.340219935533</v>
      </c>
      <c r="AE311" s="109">
        <f>IFERROR(_xlfn.XLOOKUP($D311,'Modelling New'!$D:$D,'Modelling New'!O:O),"")</f>
        <v>0.64485168784471436</v>
      </c>
      <c r="AF311" s="108">
        <f>IFERROR(_xlfn.XLOOKUP($D311,'Modelling New'!$D:$D,'Modelling New'!W:W),"")</f>
        <v>0.17656653357652891</v>
      </c>
      <c r="AG311" s="108">
        <f>IFERROR(_xlfn.XLOOKUP($D311,'Modelling New'!$D:$D,'Modelling New'!AE:AE),"")</f>
        <v>0.98040000000000005</v>
      </c>
      <c r="AH311" s="128">
        <f>IFERROR(_xlfn.XLOOKUP($D311,'Modelling New'!$D:$D,'Modelling New'!AF:AF),"")</f>
        <v>0.98</v>
      </c>
      <c r="AN311" s="105"/>
      <c r="AO311" s="108"/>
      <c r="AP311" s="108"/>
      <c r="AQ311" s="108"/>
      <c r="AR311" s="101">
        <f>'Basic Data'!$B$98/1000</f>
        <v>8.0208999999999993</v>
      </c>
      <c r="AT311" s="7" t="str">
        <f>IFERROR(_xlfn.XLOOKUP(Table13[[#This Row],[Date]],'Raw Data'!$G:$G,'Raw Data'!$AN:$AN),"")</f>
        <v/>
      </c>
      <c r="AU311" s="7">
        <f>IFERROR(_xlfn.XLOOKUP(Table13[[#This Row],[Month Year]],'Modelling New'!$D:$D,'Modelling New'!$AO:$AO),"")</f>
        <v>8</v>
      </c>
      <c r="AV311" s="7">
        <f>SUMIF('Curtailment Records'!$C:$C,Table13[[#This Row],[Date]],'Curtailment Records'!$R:$R)/1000</f>
        <v>0</v>
      </c>
    </row>
    <row r="312" spans="1:48" x14ac:dyDescent="0.3">
      <c r="A312" s="100">
        <f t="shared" si="23"/>
        <v>46055</v>
      </c>
      <c r="B312" s="101">
        <f>YEAR(Table13[[#This Row],[Date]])+IF(MONTH(Table13[[#This Row],[Date]])&gt;=4,1,0)</f>
        <v>2026</v>
      </c>
      <c r="C312" s="7">
        <f>YEAR(Table13[[#This Row],[Date]])</f>
        <v>2026</v>
      </c>
      <c r="D312" s="102">
        <f>Table13[[#This Row],[Date]]-DAY(Table13[[#This Row],[Date]])+1</f>
        <v>46054</v>
      </c>
      <c r="E312" s="7">
        <f t="shared" si="20"/>
        <v>28</v>
      </c>
      <c r="F312" s="103" t="str">
        <f>IFERROR(_xlfn.XLOOKUP($A312,'Raw Data'!$G:$G,'Raw Data'!$AM:$AM),"")</f>
        <v/>
      </c>
      <c r="G312" s="104" t="str">
        <f>IFERROR(_xlfn.XLOOKUP($A312,'Raw Data'!$G:$G,'Raw Data'!$AB:$AB),"")</f>
        <v/>
      </c>
      <c r="H312" s="104"/>
      <c r="I312" s="104" t="str">
        <f>IFERROR(_xlfn.XLOOKUP($A312,'Raw Data'!$G:$G,'Raw Data'!$AC:$AC),"")</f>
        <v/>
      </c>
      <c r="J312" s="104"/>
      <c r="K312" s="104" t="str">
        <f>IFERROR(_xlfn.XLOOKUP($A312,'Raw Data'!$G:$G,'Raw Data'!AD:AD),"")</f>
        <v/>
      </c>
      <c r="L312" s="104" t="str">
        <f>IFERROR(_xlfn.XLOOKUP($A312,'Raw Data'!$G:$G,'Raw Data'!AE:AE),"")</f>
        <v/>
      </c>
      <c r="M312" s="104" t="str">
        <f>IFERROR(_xlfn.XLOOKUP($A312,'Raw Data'!$G:$G,'Raw Data'!AF:AF),"")</f>
        <v/>
      </c>
      <c r="N312" s="104" t="str">
        <f>IFERROR(_xlfn.XLOOKUP($A312,'Raw Data'!$G:$G,'Raw Data'!AG:AG),"")</f>
        <v/>
      </c>
      <c r="O312" s="105" t="str">
        <f>IFERROR(1-SUMIF('Plant BD'!$B:$B,$A312,'Plant BD'!$AM:$AM)/($AA312+SUMIF('Plant BD'!$B:$B,$A312,'Plant BD'!$AM:$AM)),"")</f>
        <v/>
      </c>
      <c r="P312" s="105"/>
      <c r="Q312" s="106"/>
      <c r="R312" s="105" t="str">
        <f>IFERROR(1-SUMIF('Grid BD'!$B:$B,$A312,'Grid BD'!$AE:$AE)/($AA312+SUMIF('Grid BD'!$B:$B,$A312,'Grid BD'!$AE:$AE)),"")</f>
        <v/>
      </c>
      <c r="T312" s="106"/>
      <c r="U312" s="107" t="str">
        <f t="shared" si="21"/>
        <v/>
      </c>
      <c r="V312" s="107"/>
      <c r="W312" s="108" t="str">
        <f t="shared" si="22"/>
        <v/>
      </c>
      <c r="X312" s="101" t="str">
        <f>IFERROR(_xlfn.XLOOKUP($A312,'Raw Data'!$G:$G,'Raw Data'!AI:AI),"")</f>
        <v/>
      </c>
      <c r="Y312" s="101" t="str">
        <f>IFERROR(_xlfn.XLOOKUP($A312,'Raw Data'!$G:$G,'Raw Data'!AJ:AJ),"")</f>
        <v/>
      </c>
      <c r="Z312" s="101" t="str">
        <f>IFERROR(_xlfn.XLOOKUP($A312,'Raw Data'!$G:$G,'Raw Data'!AK:AK),"")</f>
        <v/>
      </c>
      <c r="AA312" s="101" t="str">
        <f>IFERROR(_xlfn.XLOOKUP($A312,'Raw Data'!$G:$G,'Raw Data'!$AL:$AL)*(1+(_xlfn.XLOOKUP(Table13[[#This Row],[Month Year]],JMR!$A:$A,JMR!$J:$J))),"")</f>
        <v/>
      </c>
      <c r="AB312" s="101" t="str">
        <f>IFERROR(_xlfn.XLOOKUP($A312,'Raw Data'!$G:$G,'Raw Data'!H:H),"")</f>
        <v/>
      </c>
      <c r="AC312" s="67">
        <f>IFERROR(_xlfn.XLOOKUP($D312,'Modelling New'!$D:$D,'Modelling New'!P:P),"")</f>
        <v>6.5714285714285712</v>
      </c>
      <c r="AD312" s="101">
        <f>IFERROR(_xlfn.XLOOKUP($D312,'Modelling New'!$D:$D,'Modelling New'!$T:$T)*1000,"")</f>
        <v>33989.340219935533</v>
      </c>
      <c r="AE312" s="109">
        <f>IFERROR(_xlfn.XLOOKUP($D312,'Modelling New'!$D:$D,'Modelling New'!O:O),"")</f>
        <v>0.64485168784471436</v>
      </c>
      <c r="AF312" s="108">
        <f>IFERROR(_xlfn.XLOOKUP($D312,'Modelling New'!$D:$D,'Modelling New'!W:W),"")</f>
        <v>0.17656653357652891</v>
      </c>
      <c r="AG312" s="108">
        <f>IFERROR(_xlfn.XLOOKUP($D312,'Modelling New'!$D:$D,'Modelling New'!AE:AE),"")</f>
        <v>0.98040000000000005</v>
      </c>
      <c r="AH312" s="128">
        <f>IFERROR(_xlfn.XLOOKUP($D312,'Modelling New'!$D:$D,'Modelling New'!AF:AF),"")</f>
        <v>0.98</v>
      </c>
      <c r="AN312" s="105"/>
      <c r="AO312" s="108"/>
      <c r="AP312" s="108"/>
      <c r="AQ312" s="108"/>
      <c r="AR312" s="101">
        <f>'Basic Data'!$B$98/1000</f>
        <v>8.0208999999999993</v>
      </c>
      <c r="AT312" s="7" t="str">
        <f>IFERROR(_xlfn.XLOOKUP(Table13[[#This Row],[Date]],'Raw Data'!$G:$G,'Raw Data'!$AN:$AN),"")</f>
        <v/>
      </c>
      <c r="AU312" s="7">
        <f>IFERROR(_xlfn.XLOOKUP(Table13[[#This Row],[Month Year]],'Modelling New'!$D:$D,'Modelling New'!$AO:$AO),"")</f>
        <v>8</v>
      </c>
      <c r="AV312" s="7">
        <f>SUMIF('Curtailment Records'!$C:$C,Table13[[#This Row],[Date]],'Curtailment Records'!$R:$R)/1000</f>
        <v>0</v>
      </c>
    </row>
    <row r="313" spans="1:48" x14ac:dyDescent="0.3">
      <c r="A313" s="100">
        <f t="shared" si="23"/>
        <v>46056</v>
      </c>
      <c r="B313" s="101">
        <f>YEAR(Table13[[#This Row],[Date]])+IF(MONTH(Table13[[#This Row],[Date]])&gt;=4,1,0)</f>
        <v>2026</v>
      </c>
      <c r="C313" s="7">
        <f>YEAR(Table13[[#This Row],[Date]])</f>
        <v>2026</v>
      </c>
      <c r="D313" s="102">
        <f>Table13[[#This Row],[Date]]-DAY(Table13[[#This Row],[Date]])+1</f>
        <v>46054</v>
      </c>
      <c r="E313" s="7">
        <f t="shared" si="20"/>
        <v>28</v>
      </c>
      <c r="F313" s="103" t="str">
        <f>IFERROR(_xlfn.XLOOKUP($A313,'Raw Data'!$G:$G,'Raw Data'!$AM:$AM),"")</f>
        <v/>
      </c>
      <c r="G313" s="104" t="str">
        <f>IFERROR(_xlfn.XLOOKUP($A313,'Raw Data'!$G:$G,'Raw Data'!$AB:$AB),"")</f>
        <v/>
      </c>
      <c r="H313" s="104"/>
      <c r="I313" s="104" t="str">
        <f>IFERROR(_xlfn.XLOOKUP($A313,'Raw Data'!$G:$G,'Raw Data'!$AC:$AC),"")</f>
        <v/>
      </c>
      <c r="J313" s="104"/>
      <c r="K313" s="104" t="str">
        <f>IFERROR(_xlfn.XLOOKUP($A313,'Raw Data'!$G:$G,'Raw Data'!AD:AD),"")</f>
        <v/>
      </c>
      <c r="L313" s="104" t="str">
        <f>IFERROR(_xlfn.XLOOKUP($A313,'Raw Data'!$G:$G,'Raw Data'!AE:AE),"")</f>
        <v/>
      </c>
      <c r="M313" s="104" t="str">
        <f>IFERROR(_xlfn.XLOOKUP($A313,'Raw Data'!$G:$G,'Raw Data'!AF:AF),"")</f>
        <v/>
      </c>
      <c r="N313" s="104" t="str">
        <f>IFERROR(_xlfn.XLOOKUP($A313,'Raw Data'!$G:$G,'Raw Data'!AG:AG),"")</f>
        <v/>
      </c>
      <c r="O313" s="105" t="str">
        <f>IFERROR(1-SUMIF('Plant BD'!$B:$B,$A313,'Plant BD'!$AM:$AM)/($AA313+SUMIF('Plant BD'!$B:$B,$A313,'Plant BD'!$AM:$AM)),"")</f>
        <v/>
      </c>
      <c r="P313" s="105"/>
      <c r="Q313" s="106"/>
      <c r="R313" s="105" t="str">
        <f>IFERROR(1-SUMIF('Grid BD'!$B:$B,$A313,'Grid BD'!$AE:$AE)/($AA313+SUMIF('Grid BD'!$B:$B,$A313,'Grid BD'!$AE:$AE)),"")</f>
        <v/>
      </c>
      <c r="T313" s="106"/>
      <c r="U313" s="107" t="str">
        <f t="shared" si="21"/>
        <v/>
      </c>
      <c r="V313" s="107"/>
      <c r="W313" s="108" t="str">
        <f t="shared" si="22"/>
        <v/>
      </c>
      <c r="X313" s="101" t="str">
        <f>IFERROR(_xlfn.XLOOKUP($A313,'Raw Data'!$G:$G,'Raw Data'!AI:AI),"")</f>
        <v/>
      </c>
      <c r="Y313" s="101" t="str">
        <f>IFERROR(_xlfn.XLOOKUP($A313,'Raw Data'!$G:$G,'Raw Data'!AJ:AJ),"")</f>
        <v/>
      </c>
      <c r="Z313" s="101" t="str">
        <f>IFERROR(_xlfn.XLOOKUP($A313,'Raw Data'!$G:$G,'Raw Data'!AK:AK),"")</f>
        <v/>
      </c>
      <c r="AA313" s="101" t="str">
        <f>IFERROR(_xlfn.XLOOKUP($A313,'Raw Data'!$G:$G,'Raw Data'!$AL:$AL)*(1+(_xlfn.XLOOKUP(Table13[[#This Row],[Month Year]],JMR!$A:$A,JMR!$J:$J))),"")</f>
        <v/>
      </c>
      <c r="AB313" s="101" t="str">
        <f>IFERROR(_xlfn.XLOOKUP($A313,'Raw Data'!$G:$G,'Raw Data'!H:H),"")</f>
        <v/>
      </c>
      <c r="AC313" s="67">
        <f>IFERROR(_xlfn.XLOOKUP($D313,'Modelling New'!$D:$D,'Modelling New'!P:P),"")</f>
        <v>6.5714285714285712</v>
      </c>
      <c r="AD313" s="101">
        <f>IFERROR(_xlfn.XLOOKUP($D313,'Modelling New'!$D:$D,'Modelling New'!$T:$T)*1000,"")</f>
        <v>33989.340219935533</v>
      </c>
      <c r="AE313" s="109">
        <f>IFERROR(_xlfn.XLOOKUP($D313,'Modelling New'!$D:$D,'Modelling New'!O:O),"")</f>
        <v>0.64485168784471436</v>
      </c>
      <c r="AF313" s="108">
        <f>IFERROR(_xlfn.XLOOKUP($D313,'Modelling New'!$D:$D,'Modelling New'!W:W),"")</f>
        <v>0.17656653357652891</v>
      </c>
      <c r="AG313" s="108">
        <f>IFERROR(_xlfn.XLOOKUP($D313,'Modelling New'!$D:$D,'Modelling New'!AE:AE),"")</f>
        <v>0.98040000000000005</v>
      </c>
      <c r="AH313" s="128">
        <f>IFERROR(_xlfn.XLOOKUP($D313,'Modelling New'!$D:$D,'Modelling New'!AF:AF),"")</f>
        <v>0.98</v>
      </c>
      <c r="AN313" s="105"/>
      <c r="AO313" s="108"/>
      <c r="AP313" s="108"/>
      <c r="AQ313" s="108"/>
      <c r="AR313" s="101">
        <f>'Basic Data'!$B$98/1000</f>
        <v>8.0208999999999993</v>
      </c>
      <c r="AT313" s="7" t="str">
        <f>IFERROR(_xlfn.XLOOKUP(Table13[[#This Row],[Date]],'Raw Data'!$G:$G,'Raw Data'!$AN:$AN),"")</f>
        <v/>
      </c>
      <c r="AU313" s="7">
        <f>IFERROR(_xlfn.XLOOKUP(Table13[[#This Row],[Month Year]],'Modelling New'!$D:$D,'Modelling New'!$AO:$AO),"")</f>
        <v>8</v>
      </c>
      <c r="AV313" s="7">
        <f>SUMIF('Curtailment Records'!$C:$C,Table13[[#This Row],[Date]],'Curtailment Records'!$R:$R)/1000</f>
        <v>0</v>
      </c>
    </row>
    <row r="314" spans="1:48" x14ac:dyDescent="0.3">
      <c r="A314" s="100">
        <f t="shared" si="23"/>
        <v>46057</v>
      </c>
      <c r="B314" s="101">
        <f>YEAR(Table13[[#This Row],[Date]])+IF(MONTH(Table13[[#This Row],[Date]])&gt;=4,1,0)</f>
        <v>2026</v>
      </c>
      <c r="C314" s="7">
        <f>YEAR(Table13[[#This Row],[Date]])</f>
        <v>2026</v>
      </c>
      <c r="D314" s="102">
        <f>Table13[[#This Row],[Date]]-DAY(Table13[[#This Row],[Date]])+1</f>
        <v>46054</v>
      </c>
      <c r="E314" s="7">
        <f t="shared" si="20"/>
        <v>28</v>
      </c>
      <c r="F314" s="103" t="str">
        <f>IFERROR(_xlfn.XLOOKUP($A314,'Raw Data'!$G:$G,'Raw Data'!$AM:$AM),"")</f>
        <v/>
      </c>
      <c r="G314" s="104" t="str">
        <f>IFERROR(_xlfn.XLOOKUP($A314,'Raw Data'!$G:$G,'Raw Data'!$AB:$AB),"")</f>
        <v/>
      </c>
      <c r="H314" s="104"/>
      <c r="I314" s="104" t="str">
        <f>IFERROR(_xlfn.XLOOKUP($A314,'Raw Data'!$G:$G,'Raw Data'!$AC:$AC),"")</f>
        <v/>
      </c>
      <c r="J314" s="104"/>
      <c r="K314" s="104" t="str">
        <f>IFERROR(_xlfn.XLOOKUP($A314,'Raw Data'!$G:$G,'Raw Data'!AD:AD),"")</f>
        <v/>
      </c>
      <c r="L314" s="104" t="str">
        <f>IFERROR(_xlfn.XLOOKUP($A314,'Raw Data'!$G:$G,'Raw Data'!AE:AE),"")</f>
        <v/>
      </c>
      <c r="M314" s="104" t="str">
        <f>IFERROR(_xlfn.XLOOKUP($A314,'Raw Data'!$G:$G,'Raw Data'!AF:AF),"")</f>
        <v/>
      </c>
      <c r="N314" s="104" t="str">
        <f>IFERROR(_xlfn.XLOOKUP($A314,'Raw Data'!$G:$G,'Raw Data'!AG:AG),"")</f>
        <v/>
      </c>
      <c r="O314" s="105" t="str">
        <f>IFERROR(1-SUMIF('Plant BD'!$B:$B,$A314,'Plant BD'!$AM:$AM)/($AA314+SUMIF('Plant BD'!$B:$B,$A314,'Plant BD'!$AM:$AM)),"")</f>
        <v/>
      </c>
      <c r="P314" s="105"/>
      <c r="Q314" s="106"/>
      <c r="R314" s="105" t="str">
        <f>IFERROR(1-SUMIF('Grid BD'!$B:$B,$A314,'Grid BD'!$AE:$AE)/($AA314+SUMIF('Grid BD'!$B:$B,$A314,'Grid BD'!$AE:$AE)),"")</f>
        <v/>
      </c>
      <c r="T314" s="106"/>
      <c r="U314" s="107" t="str">
        <f t="shared" si="21"/>
        <v/>
      </c>
      <c r="V314" s="107"/>
      <c r="W314" s="108" t="str">
        <f t="shared" si="22"/>
        <v/>
      </c>
      <c r="X314" s="101" t="str">
        <f>IFERROR(_xlfn.XLOOKUP($A314,'Raw Data'!$G:$G,'Raw Data'!AI:AI),"")</f>
        <v/>
      </c>
      <c r="Y314" s="101" t="str">
        <f>IFERROR(_xlfn.XLOOKUP($A314,'Raw Data'!$G:$G,'Raw Data'!AJ:AJ),"")</f>
        <v/>
      </c>
      <c r="Z314" s="101" t="str">
        <f>IFERROR(_xlfn.XLOOKUP($A314,'Raw Data'!$G:$G,'Raw Data'!AK:AK),"")</f>
        <v/>
      </c>
      <c r="AA314" s="101" t="str">
        <f>IFERROR(_xlfn.XLOOKUP($A314,'Raw Data'!$G:$G,'Raw Data'!$AL:$AL)*(1+(_xlfn.XLOOKUP(Table13[[#This Row],[Month Year]],JMR!$A:$A,JMR!$J:$J))),"")</f>
        <v/>
      </c>
      <c r="AB314" s="101" t="str">
        <f>IFERROR(_xlfn.XLOOKUP($A314,'Raw Data'!$G:$G,'Raw Data'!H:H),"")</f>
        <v/>
      </c>
      <c r="AC314" s="67">
        <f>IFERROR(_xlfn.XLOOKUP($D314,'Modelling New'!$D:$D,'Modelling New'!P:P),"")</f>
        <v>6.5714285714285712</v>
      </c>
      <c r="AD314" s="101">
        <f>IFERROR(_xlfn.XLOOKUP($D314,'Modelling New'!$D:$D,'Modelling New'!$T:$T)*1000,"")</f>
        <v>33989.340219935533</v>
      </c>
      <c r="AE314" s="109">
        <f>IFERROR(_xlfn.XLOOKUP($D314,'Modelling New'!$D:$D,'Modelling New'!O:O),"")</f>
        <v>0.64485168784471436</v>
      </c>
      <c r="AF314" s="108">
        <f>IFERROR(_xlfn.XLOOKUP($D314,'Modelling New'!$D:$D,'Modelling New'!W:W),"")</f>
        <v>0.17656653357652891</v>
      </c>
      <c r="AG314" s="108">
        <f>IFERROR(_xlfn.XLOOKUP($D314,'Modelling New'!$D:$D,'Modelling New'!AE:AE),"")</f>
        <v>0.98040000000000005</v>
      </c>
      <c r="AH314" s="128">
        <f>IFERROR(_xlfn.XLOOKUP($D314,'Modelling New'!$D:$D,'Modelling New'!AF:AF),"")</f>
        <v>0.98</v>
      </c>
      <c r="AN314" s="105"/>
      <c r="AO314" s="108"/>
      <c r="AP314" s="108"/>
      <c r="AQ314" s="108"/>
      <c r="AR314" s="101">
        <f>'Basic Data'!$B$98/1000</f>
        <v>8.0208999999999993</v>
      </c>
      <c r="AT314" s="7" t="str">
        <f>IFERROR(_xlfn.XLOOKUP(Table13[[#This Row],[Date]],'Raw Data'!$G:$G,'Raw Data'!$AN:$AN),"")</f>
        <v/>
      </c>
      <c r="AU314" s="7">
        <f>IFERROR(_xlfn.XLOOKUP(Table13[[#This Row],[Month Year]],'Modelling New'!$D:$D,'Modelling New'!$AO:$AO),"")</f>
        <v>8</v>
      </c>
      <c r="AV314" s="7">
        <f>SUMIF('Curtailment Records'!$C:$C,Table13[[#This Row],[Date]],'Curtailment Records'!$R:$R)/1000</f>
        <v>0</v>
      </c>
    </row>
    <row r="315" spans="1:48" x14ac:dyDescent="0.3">
      <c r="A315" s="100">
        <f t="shared" si="23"/>
        <v>46058</v>
      </c>
      <c r="B315" s="101">
        <f>YEAR(Table13[[#This Row],[Date]])+IF(MONTH(Table13[[#This Row],[Date]])&gt;=4,1,0)</f>
        <v>2026</v>
      </c>
      <c r="C315" s="7">
        <f>YEAR(Table13[[#This Row],[Date]])</f>
        <v>2026</v>
      </c>
      <c r="D315" s="102">
        <f>Table13[[#This Row],[Date]]-DAY(Table13[[#This Row],[Date]])+1</f>
        <v>46054</v>
      </c>
      <c r="E315" s="7">
        <f t="shared" si="20"/>
        <v>28</v>
      </c>
      <c r="F315" s="103" t="str">
        <f>IFERROR(_xlfn.XLOOKUP($A315,'Raw Data'!$G:$G,'Raw Data'!$AM:$AM),"")</f>
        <v/>
      </c>
      <c r="G315" s="104" t="str">
        <f>IFERROR(_xlfn.XLOOKUP($A315,'Raw Data'!$G:$G,'Raw Data'!$AB:$AB),"")</f>
        <v/>
      </c>
      <c r="H315" s="104"/>
      <c r="I315" s="104" t="str">
        <f>IFERROR(_xlfn.XLOOKUP($A315,'Raw Data'!$G:$G,'Raw Data'!$AC:$AC),"")</f>
        <v/>
      </c>
      <c r="J315" s="104"/>
      <c r="K315" s="104" t="str">
        <f>IFERROR(_xlfn.XLOOKUP($A315,'Raw Data'!$G:$G,'Raw Data'!AD:AD),"")</f>
        <v/>
      </c>
      <c r="L315" s="104" t="str">
        <f>IFERROR(_xlfn.XLOOKUP($A315,'Raw Data'!$G:$G,'Raw Data'!AE:AE),"")</f>
        <v/>
      </c>
      <c r="M315" s="104" t="str">
        <f>IFERROR(_xlfn.XLOOKUP($A315,'Raw Data'!$G:$G,'Raw Data'!AF:AF),"")</f>
        <v/>
      </c>
      <c r="N315" s="104" t="str">
        <f>IFERROR(_xlfn.XLOOKUP($A315,'Raw Data'!$G:$G,'Raw Data'!AG:AG),"")</f>
        <v/>
      </c>
      <c r="O315" s="105" t="str">
        <f>IFERROR(1-SUMIF('Plant BD'!$B:$B,$A315,'Plant BD'!$AM:$AM)/($AA315+SUMIF('Plant BD'!$B:$B,$A315,'Plant BD'!$AM:$AM)),"")</f>
        <v/>
      </c>
      <c r="P315" s="105"/>
      <c r="Q315" s="106"/>
      <c r="R315" s="105" t="str">
        <f>IFERROR(1-SUMIF('Grid BD'!$B:$B,$A315,'Grid BD'!$AE:$AE)/($AA315+SUMIF('Grid BD'!$B:$B,$A315,'Grid BD'!$AE:$AE)),"")</f>
        <v/>
      </c>
      <c r="T315" s="106"/>
      <c r="U315" s="107" t="str">
        <f t="shared" si="21"/>
        <v/>
      </c>
      <c r="V315" s="107"/>
      <c r="W315" s="108" t="str">
        <f t="shared" si="22"/>
        <v/>
      </c>
      <c r="X315" s="101" t="str">
        <f>IFERROR(_xlfn.XLOOKUP($A315,'Raw Data'!$G:$G,'Raw Data'!AI:AI),"")</f>
        <v/>
      </c>
      <c r="Y315" s="101" t="str">
        <f>IFERROR(_xlfn.XLOOKUP($A315,'Raw Data'!$G:$G,'Raw Data'!AJ:AJ),"")</f>
        <v/>
      </c>
      <c r="Z315" s="101" t="str">
        <f>IFERROR(_xlfn.XLOOKUP($A315,'Raw Data'!$G:$G,'Raw Data'!AK:AK),"")</f>
        <v/>
      </c>
      <c r="AA315" s="101" t="str">
        <f>IFERROR(_xlfn.XLOOKUP($A315,'Raw Data'!$G:$G,'Raw Data'!$AL:$AL)*(1+(_xlfn.XLOOKUP(Table13[[#This Row],[Month Year]],JMR!$A:$A,JMR!$J:$J))),"")</f>
        <v/>
      </c>
      <c r="AB315" s="101" t="str">
        <f>IFERROR(_xlfn.XLOOKUP($A315,'Raw Data'!$G:$G,'Raw Data'!H:H),"")</f>
        <v/>
      </c>
      <c r="AC315" s="67">
        <f>IFERROR(_xlfn.XLOOKUP($D315,'Modelling New'!$D:$D,'Modelling New'!P:P),"")</f>
        <v>6.5714285714285712</v>
      </c>
      <c r="AD315" s="101">
        <f>IFERROR(_xlfn.XLOOKUP($D315,'Modelling New'!$D:$D,'Modelling New'!$T:$T)*1000,"")</f>
        <v>33989.340219935533</v>
      </c>
      <c r="AE315" s="109">
        <f>IFERROR(_xlfn.XLOOKUP($D315,'Modelling New'!$D:$D,'Modelling New'!O:O),"")</f>
        <v>0.64485168784471436</v>
      </c>
      <c r="AF315" s="108">
        <f>IFERROR(_xlfn.XLOOKUP($D315,'Modelling New'!$D:$D,'Modelling New'!W:W),"")</f>
        <v>0.17656653357652891</v>
      </c>
      <c r="AG315" s="108">
        <f>IFERROR(_xlfn.XLOOKUP($D315,'Modelling New'!$D:$D,'Modelling New'!AE:AE),"")</f>
        <v>0.98040000000000005</v>
      </c>
      <c r="AH315" s="128">
        <f>IFERROR(_xlfn.XLOOKUP($D315,'Modelling New'!$D:$D,'Modelling New'!AF:AF),"")</f>
        <v>0.98</v>
      </c>
      <c r="AN315" s="105"/>
      <c r="AO315" s="108"/>
      <c r="AP315" s="108"/>
      <c r="AQ315" s="108"/>
      <c r="AR315" s="101">
        <f>'Basic Data'!$B$98/1000</f>
        <v>8.0208999999999993</v>
      </c>
      <c r="AT315" s="7" t="str">
        <f>IFERROR(_xlfn.XLOOKUP(Table13[[#This Row],[Date]],'Raw Data'!$G:$G,'Raw Data'!$AN:$AN),"")</f>
        <v/>
      </c>
      <c r="AU315" s="7">
        <f>IFERROR(_xlfn.XLOOKUP(Table13[[#This Row],[Month Year]],'Modelling New'!$D:$D,'Modelling New'!$AO:$AO),"")</f>
        <v>8</v>
      </c>
      <c r="AV315" s="7">
        <f>SUMIF('Curtailment Records'!$C:$C,Table13[[#This Row],[Date]],'Curtailment Records'!$R:$R)/1000</f>
        <v>0</v>
      </c>
    </row>
    <row r="316" spans="1:48" x14ac:dyDescent="0.3">
      <c r="A316" s="100">
        <f t="shared" si="23"/>
        <v>46059</v>
      </c>
      <c r="B316" s="101">
        <f>YEAR(Table13[[#This Row],[Date]])+IF(MONTH(Table13[[#This Row],[Date]])&gt;=4,1,0)</f>
        <v>2026</v>
      </c>
      <c r="C316" s="7">
        <f>YEAR(Table13[[#This Row],[Date]])</f>
        <v>2026</v>
      </c>
      <c r="D316" s="102">
        <f>Table13[[#This Row],[Date]]-DAY(Table13[[#This Row],[Date]])+1</f>
        <v>46054</v>
      </c>
      <c r="E316" s="7">
        <f t="shared" si="20"/>
        <v>28</v>
      </c>
      <c r="F316" s="103" t="str">
        <f>IFERROR(_xlfn.XLOOKUP($A316,'Raw Data'!$G:$G,'Raw Data'!$AM:$AM),"")</f>
        <v/>
      </c>
      <c r="G316" s="104" t="str">
        <f>IFERROR(_xlfn.XLOOKUP($A316,'Raw Data'!$G:$G,'Raw Data'!$AB:$AB),"")</f>
        <v/>
      </c>
      <c r="H316" s="104"/>
      <c r="I316" s="104" t="str">
        <f>IFERROR(_xlfn.XLOOKUP($A316,'Raw Data'!$G:$G,'Raw Data'!$AC:$AC),"")</f>
        <v/>
      </c>
      <c r="J316" s="104"/>
      <c r="K316" s="104" t="str">
        <f>IFERROR(_xlfn.XLOOKUP($A316,'Raw Data'!$G:$G,'Raw Data'!AD:AD),"")</f>
        <v/>
      </c>
      <c r="L316" s="104" t="str">
        <f>IFERROR(_xlfn.XLOOKUP($A316,'Raw Data'!$G:$G,'Raw Data'!AE:AE),"")</f>
        <v/>
      </c>
      <c r="M316" s="104" t="str">
        <f>IFERROR(_xlfn.XLOOKUP($A316,'Raw Data'!$G:$G,'Raw Data'!AF:AF),"")</f>
        <v/>
      </c>
      <c r="N316" s="104" t="str">
        <f>IFERROR(_xlfn.XLOOKUP($A316,'Raw Data'!$G:$G,'Raw Data'!AG:AG),"")</f>
        <v/>
      </c>
      <c r="O316" s="105" t="str">
        <f>IFERROR(1-SUMIF('Plant BD'!$B:$B,$A316,'Plant BD'!$AM:$AM)/($AA316+SUMIF('Plant BD'!$B:$B,$A316,'Plant BD'!$AM:$AM)),"")</f>
        <v/>
      </c>
      <c r="P316" s="105"/>
      <c r="Q316" s="106"/>
      <c r="R316" s="105" t="str">
        <f>IFERROR(1-SUMIF('Grid BD'!$B:$B,$A316,'Grid BD'!$AE:$AE)/($AA316+SUMIF('Grid BD'!$B:$B,$A316,'Grid BD'!$AE:$AE)),"")</f>
        <v/>
      </c>
      <c r="T316" s="106"/>
      <c r="U316" s="107" t="str">
        <f t="shared" si="21"/>
        <v/>
      </c>
      <c r="V316" s="107"/>
      <c r="W316" s="108" t="str">
        <f t="shared" si="22"/>
        <v/>
      </c>
      <c r="X316" s="101" t="str">
        <f>IFERROR(_xlfn.XLOOKUP($A316,'Raw Data'!$G:$G,'Raw Data'!AI:AI),"")</f>
        <v/>
      </c>
      <c r="Y316" s="101" t="str">
        <f>IFERROR(_xlfn.XLOOKUP($A316,'Raw Data'!$G:$G,'Raw Data'!AJ:AJ),"")</f>
        <v/>
      </c>
      <c r="Z316" s="101" t="str">
        <f>IFERROR(_xlfn.XLOOKUP($A316,'Raw Data'!$G:$G,'Raw Data'!AK:AK),"")</f>
        <v/>
      </c>
      <c r="AA316" s="101" t="str">
        <f>IFERROR(_xlfn.XLOOKUP($A316,'Raw Data'!$G:$G,'Raw Data'!$AL:$AL)*(1+(_xlfn.XLOOKUP(Table13[[#This Row],[Month Year]],JMR!$A:$A,JMR!$J:$J))),"")</f>
        <v/>
      </c>
      <c r="AB316" s="101" t="str">
        <f>IFERROR(_xlfn.XLOOKUP($A316,'Raw Data'!$G:$G,'Raw Data'!H:H),"")</f>
        <v/>
      </c>
      <c r="AC316" s="67">
        <f>IFERROR(_xlfn.XLOOKUP($D316,'Modelling New'!$D:$D,'Modelling New'!P:P),"")</f>
        <v>6.5714285714285712</v>
      </c>
      <c r="AD316" s="101">
        <f>IFERROR(_xlfn.XLOOKUP($D316,'Modelling New'!$D:$D,'Modelling New'!$T:$T)*1000,"")</f>
        <v>33989.340219935533</v>
      </c>
      <c r="AE316" s="109">
        <f>IFERROR(_xlfn.XLOOKUP($D316,'Modelling New'!$D:$D,'Modelling New'!O:O),"")</f>
        <v>0.64485168784471436</v>
      </c>
      <c r="AF316" s="108">
        <f>IFERROR(_xlfn.XLOOKUP($D316,'Modelling New'!$D:$D,'Modelling New'!W:W),"")</f>
        <v>0.17656653357652891</v>
      </c>
      <c r="AG316" s="108">
        <f>IFERROR(_xlfn.XLOOKUP($D316,'Modelling New'!$D:$D,'Modelling New'!AE:AE),"")</f>
        <v>0.98040000000000005</v>
      </c>
      <c r="AH316" s="128">
        <f>IFERROR(_xlfn.XLOOKUP($D316,'Modelling New'!$D:$D,'Modelling New'!AF:AF),"")</f>
        <v>0.98</v>
      </c>
      <c r="AN316" s="105"/>
      <c r="AO316" s="108"/>
      <c r="AP316" s="108"/>
      <c r="AQ316" s="108"/>
      <c r="AR316" s="101">
        <f>'Basic Data'!$B$98/1000</f>
        <v>8.0208999999999993</v>
      </c>
      <c r="AT316" s="7" t="str">
        <f>IFERROR(_xlfn.XLOOKUP(Table13[[#This Row],[Date]],'Raw Data'!$G:$G,'Raw Data'!$AN:$AN),"")</f>
        <v/>
      </c>
      <c r="AU316" s="7">
        <f>IFERROR(_xlfn.XLOOKUP(Table13[[#This Row],[Month Year]],'Modelling New'!$D:$D,'Modelling New'!$AO:$AO),"")</f>
        <v>8</v>
      </c>
      <c r="AV316" s="7">
        <f>SUMIF('Curtailment Records'!$C:$C,Table13[[#This Row],[Date]],'Curtailment Records'!$R:$R)/1000</f>
        <v>0</v>
      </c>
    </row>
    <row r="317" spans="1:48" x14ac:dyDescent="0.3">
      <c r="A317" s="100">
        <f t="shared" si="23"/>
        <v>46060</v>
      </c>
      <c r="B317" s="101">
        <f>YEAR(Table13[[#This Row],[Date]])+IF(MONTH(Table13[[#This Row],[Date]])&gt;=4,1,0)</f>
        <v>2026</v>
      </c>
      <c r="C317" s="7">
        <f>YEAR(Table13[[#This Row],[Date]])</f>
        <v>2026</v>
      </c>
      <c r="D317" s="102">
        <f>Table13[[#This Row],[Date]]-DAY(Table13[[#This Row],[Date]])+1</f>
        <v>46054</v>
      </c>
      <c r="E317" s="7">
        <f t="shared" si="20"/>
        <v>28</v>
      </c>
      <c r="F317" s="103" t="str">
        <f>IFERROR(_xlfn.XLOOKUP($A317,'Raw Data'!$G:$G,'Raw Data'!$AM:$AM),"")</f>
        <v/>
      </c>
      <c r="G317" s="104" t="str">
        <f>IFERROR(_xlfn.XLOOKUP($A317,'Raw Data'!$G:$G,'Raw Data'!$AB:$AB),"")</f>
        <v/>
      </c>
      <c r="H317" s="104"/>
      <c r="I317" s="104" t="str">
        <f>IFERROR(_xlfn.XLOOKUP($A317,'Raw Data'!$G:$G,'Raw Data'!$AC:$AC),"")</f>
        <v/>
      </c>
      <c r="J317" s="104"/>
      <c r="K317" s="104" t="str">
        <f>IFERROR(_xlfn.XLOOKUP($A317,'Raw Data'!$G:$G,'Raw Data'!AD:AD),"")</f>
        <v/>
      </c>
      <c r="L317" s="104" t="str">
        <f>IFERROR(_xlfn.XLOOKUP($A317,'Raw Data'!$G:$G,'Raw Data'!AE:AE),"")</f>
        <v/>
      </c>
      <c r="M317" s="104" t="str">
        <f>IFERROR(_xlfn.XLOOKUP($A317,'Raw Data'!$G:$G,'Raw Data'!AF:AF),"")</f>
        <v/>
      </c>
      <c r="N317" s="104" t="str">
        <f>IFERROR(_xlfn.XLOOKUP($A317,'Raw Data'!$G:$G,'Raw Data'!AG:AG),"")</f>
        <v/>
      </c>
      <c r="O317" s="105" t="str">
        <f>IFERROR(1-SUMIF('Plant BD'!$B:$B,$A317,'Plant BD'!$AM:$AM)/($AA317+SUMIF('Plant BD'!$B:$B,$A317,'Plant BD'!$AM:$AM)),"")</f>
        <v/>
      </c>
      <c r="P317" s="105"/>
      <c r="Q317" s="106"/>
      <c r="R317" s="105" t="str">
        <f>IFERROR(1-SUMIF('Grid BD'!$B:$B,$A317,'Grid BD'!$AE:$AE)/($AA317+SUMIF('Grid BD'!$B:$B,$A317,'Grid BD'!$AE:$AE)),"")</f>
        <v/>
      </c>
      <c r="T317" s="106"/>
      <c r="U317" s="107" t="str">
        <f t="shared" si="21"/>
        <v/>
      </c>
      <c r="V317" s="107"/>
      <c r="W317" s="108" t="str">
        <f t="shared" si="22"/>
        <v/>
      </c>
      <c r="X317" s="101" t="str">
        <f>IFERROR(_xlfn.XLOOKUP($A317,'Raw Data'!$G:$G,'Raw Data'!AI:AI),"")</f>
        <v/>
      </c>
      <c r="Y317" s="101" t="str">
        <f>IFERROR(_xlfn.XLOOKUP($A317,'Raw Data'!$G:$G,'Raw Data'!AJ:AJ),"")</f>
        <v/>
      </c>
      <c r="Z317" s="101" t="str">
        <f>IFERROR(_xlfn.XLOOKUP($A317,'Raw Data'!$G:$G,'Raw Data'!AK:AK),"")</f>
        <v/>
      </c>
      <c r="AA317" s="101" t="str">
        <f>IFERROR(_xlfn.XLOOKUP($A317,'Raw Data'!$G:$G,'Raw Data'!$AL:$AL)*(1+(_xlfn.XLOOKUP(Table13[[#This Row],[Month Year]],JMR!$A:$A,JMR!$J:$J))),"")</f>
        <v/>
      </c>
      <c r="AB317" s="101" t="str">
        <f>IFERROR(_xlfn.XLOOKUP($A317,'Raw Data'!$G:$G,'Raw Data'!H:H),"")</f>
        <v/>
      </c>
      <c r="AC317" s="67">
        <f>IFERROR(_xlfn.XLOOKUP($D317,'Modelling New'!$D:$D,'Modelling New'!P:P),"")</f>
        <v>6.5714285714285712</v>
      </c>
      <c r="AD317" s="101">
        <f>IFERROR(_xlfn.XLOOKUP($D317,'Modelling New'!$D:$D,'Modelling New'!$T:$T)*1000,"")</f>
        <v>33989.340219935533</v>
      </c>
      <c r="AE317" s="109">
        <f>IFERROR(_xlfn.XLOOKUP($D317,'Modelling New'!$D:$D,'Modelling New'!O:O),"")</f>
        <v>0.64485168784471436</v>
      </c>
      <c r="AF317" s="108">
        <f>IFERROR(_xlfn.XLOOKUP($D317,'Modelling New'!$D:$D,'Modelling New'!W:W),"")</f>
        <v>0.17656653357652891</v>
      </c>
      <c r="AG317" s="108">
        <f>IFERROR(_xlfn.XLOOKUP($D317,'Modelling New'!$D:$D,'Modelling New'!AE:AE),"")</f>
        <v>0.98040000000000005</v>
      </c>
      <c r="AH317" s="128">
        <f>IFERROR(_xlfn.XLOOKUP($D317,'Modelling New'!$D:$D,'Modelling New'!AF:AF),"")</f>
        <v>0.98</v>
      </c>
      <c r="AN317" s="105"/>
      <c r="AO317" s="108"/>
      <c r="AP317" s="108"/>
      <c r="AQ317" s="108"/>
      <c r="AR317" s="101">
        <f>'Basic Data'!$B$98/1000</f>
        <v>8.0208999999999993</v>
      </c>
      <c r="AT317" s="7" t="str">
        <f>IFERROR(_xlfn.XLOOKUP(Table13[[#This Row],[Date]],'Raw Data'!$G:$G,'Raw Data'!$AN:$AN),"")</f>
        <v/>
      </c>
      <c r="AU317" s="7">
        <f>IFERROR(_xlfn.XLOOKUP(Table13[[#This Row],[Month Year]],'Modelling New'!$D:$D,'Modelling New'!$AO:$AO),"")</f>
        <v>8</v>
      </c>
      <c r="AV317" s="7">
        <f>SUMIF('Curtailment Records'!$C:$C,Table13[[#This Row],[Date]],'Curtailment Records'!$R:$R)/1000</f>
        <v>0</v>
      </c>
    </row>
    <row r="318" spans="1:48" x14ac:dyDescent="0.3">
      <c r="A318" s="100">
        <f t="shared" si="23"/>
        <v>46061</v>
      </c>
      <c r="B318" s="101">
        <f>YEAR(Table13[[#This Row],[Date]])+IF(MONTH(Table13[[#This Row],[Date]])&gt;=4,1,0)</f>
        <v>2026</v>
      </c>
      <c r="C318" s="7">
        <f>YEAR(Table13[[#This Row],[Date]])</f>
        <v>2026</v>
      </c>
      <c r="D318" s="102">
        <f>Table13[[#This Row],[Date]]-DAY(Table13[[#This Row],[Date]])+1</f>
        <v>46054</v>
      </c>
      <c r="E318" s="7">
        <f t="shared" si="20"/>
        <v>28</v>
      </c>
      <c r="F318" s="103" t="str">
        <f>IFERROR(_xlfn.XLOOKUP($A318,'Raw Data'!$G:$G,'Raw Data'!$AM:$AM),"")</f>
        <v/>
      </c>
      <c r="G318" s="104" t="str">
        <f>IFERROR(_xlfn.XLOOKUP($A318,'Raw Data'!$G:$G,'Raw Data'!$AB:$AB),"")</f>
        <v/>
      </c>
      <c r="H318" s="104"/>
      <c r="I318" s="104" t="str">
        <f>IFERROR(_xlfn.XLOOKUP($A318,'Raw Data'!$G:$G,'Raw Data'!$AC:$AC),"")</f>
        <v/>
      </c>
      <c r="J318" s="104"/>
      <c r="K318" s="104" t="str">
        <f>IFERROR(_xlfn.XLOOKUP($A318,'Raw Data'!$G:$G,'Raw Data'!AD:AD),"")</f>
        <v/>
      </c>
      <c r="L318" s="104" t="str">
        <f>IFERROR(_xlfn.XLOOKUP($A318,'Raw Data'!$G:$G,'Raw Data'!AE:AE),"")</f>
        <v/>
      </c>
      <c r="M318" s="104" t="str">
        <f>IFERROR(_xlfn.XLOOKUP($A318,'Raw Data'!$G:$G,'Raw Data'!AF:AF),"")</f>
        <v/>
      </c>
      <c r="N318" s="104" t="str">
        <f>IFERROR(_xlfn.XLOOKUP($A318,'Raw Data'!$G:$G,'Raw Data'!AG:AG),"")</f>
        <v/>
      </c>
      <c r="O318" s="105" t="str">
        <f>IFERROR(1-SUMIF('Plant BD'!$B:$B,$A318,'Plant BD'!$AM:$AM)/($AA318+SUMIF('Plant BD'!$B:$B,$A318,'Plant BD'!$AM:$AM)),"")</f>
        <v/>
      </c>
      <c r="P318" s="105"/>
      <c r="Q318" s="106"/>
      <c r="R318" s="105" t="str">
        <f>IFERROR(1-SUMIF('Grid BD'!$B:$B,$A318,'Grid BD'!$AE:$AE)/($AA318+SUMIF('Grid BD'!$B:$B,$A318,'Grid BD'!$AE:$AE)),"")</f>
        <v/>
      </c>
      <c r="T318" s="106"/>
      <c r="U318" s="107" t="str">
        <f t="shared" si="21"/>
        <v/>
      </c>
      <c r="V318" s="107"/>
      <c r="W318" s="108" t="str">
        <f t="shared" si="22"/>
        <v/>
      </c>
      <c r="X318" s="101" t="str">
        <f>IFERROR(_xlfn.XLOOKUP($A318,'Raw Data'!$G:$G,'Raw Data'!AI:AI),"")</f>
        <v/>
      </c>
      <c r="Y318" s="101" t="str">
        <f>IFERROR(_xlfn.XLOOKUP($A318,'Raw Data'!$G:$G,'Raw Data'!AJ:AJ),"")</f>
        <v/>
      </c>
      <c r="Z318" s="101" t="str">
        <f>IFERROR(_xlfn.XLOOKUP($A318,'Raw Data'!$G:$G,'Raw Data'!AK:AK),"")</f>
        <v/>
      </c>
      <c r="AA318" s="101" t="str">
        <f>IFERROR(_xlfn.XLOOKUP($A318,'Raw Data'!$G:$G,'Raw Data'!$AL:$AL)*(1+(_xlfn.XLOOKUP(Table13[[#This Row],[Month Year]],JMR!$A:$A,JMR!$J:$J))),"")</f>
        <v/>
      </c>
      <c r="AB318" s="101" t="str">
        <f>IFERROR(_xlfn.XLOOKUP($A318,'Raw Data'!$G:$G,'Raw Data'!H:H),"")</f>
        <v/>
      </c>
      <c r="AC318" s="67">
        <f>IFERROR(_xlfn.XLOOKUP($D318,'Modelling New'!$D:$D,'Modelling New'!P:P),"")</f>
        <v>6.5714285714285712</v>
      </c>
      <c r="AD318" s="101">
        <f>IFERROR(_xlfn.XLOOKUP($D318,'Modelling New'!$D:$D,'Modelling New'!$T:$T)*1000,"")</f>
        <v>33989.340219935533</v>
      </c>
      <c r="AE318" s="109">
        <f>IFERROR(_xlfn.XLOOKUP($D318,'Modelling New'!$D:$D,'Modelling New'!O:O),"")</f>
        <v>0.64485168784471436</v>
      </c>
      <c r="AF318" s="108">
        <f>IFERROR(_xlfn.XLOOKUP($D318,'Modelling New'!$D:$D,'Modelling New'!W:W),"")</f>
        <v>0.17656653357652891</v>
      </c>
      <c r="AG318" s="108">
        <f>IFERROR(_xlfn.XLOOKUP($D318,'Modelling New'!$D:$D,'Modelling New'!AE:AE),"")</f>
        <v>0.98040000000000005</v>
      </c>
      <c r="AH318" s="128">
        <f>IFERROR(_xlfn.XLOOKUP($D318,'Modelling New'!$D:$D,'Modelling New'!AF:AF),"")</f>
        <v>0.98</v>
      </c>
      <c r="AN318" s="105"/>
      <c r="AO318" s="108"/>
      <c r="AP318" s="108"/>
      <c r="AQ318" s="108"/>
      <c r="AR318" s="101">
        <f>'Basic Data'!$B$98/1000</f>
        <v>8.0208999999999993</v>
      </c>
      <c r="AT318" s="7" t="str">
        <f>IFERROR(_xlfn.XLOOKUP(Table13[[#This Row],[Date]],'Raw Data'!$G:$G,'Raw Data'!$AN:$AN),"")</f>
        <v/>
      </c>
      <c r="AU318" s="7">
        <f>IFERROR(_xlfn.XLOOKUP(Table13[[#This Row],[Month Year]],'Modelling New'!$D:$D,'Modelling New'!$AO:$AO),"")</f>
        <v>8</v>
      </c>
      <c r="AV318" s="7">
        <f>SUMIF('Curtailment Records'!$C:$C,Table13[[#This Row],[Date]],'Curtailment Records'!$R:$R)/1000</f>
        <v>0</v>
      </c>
    </row>
    <row r="319" spans="1:48" x14ac:dyDescent="0.3">
      <c r="A319" s="100">
        <f t="shared" si="23"/>
        <v>46062</v>
      </c>
      <c r="B319" s="101">
        <f>YEAR(Table13[[#This Row],[Date]])+IF(MONTH(Table13[[#This Row],[Date]])&gt;=4,1,0)</f>
        <v>2026</v>
      </c>
      <c r="C319" s="7">
        <f>YEAR(Table13[[#This Row],[Date]])</f>
        <v>2026</v>
      </c>
      <c r="D319" s="102">
        <f>Table13[[#This Row],[Date]]-DAY(Table13[[#This Row],[Date]])+1</f>
        <v>46054</v>
      </c>
      <c r="E319" s="7">
        <f t="shared" si="20"/>
        <v>28</v>
      </c>
      <c r="F319" s="103" t="str">
        <f>IFERROR(_xlfn.XLOOKUP($A319,'Raw Data'!$G:$G,'Raw Data'!$AM:$AM),"")</f>
        <v/>
      </c>
      <c r="G319" s="104" t="str">
        <f>IFERROR(_xlfn.XLOOKUP($A319,'Raw Data'!$G:$G,'Raw Data'!$AB:$AB),"")</f>
        <v/>
      </c>
      <c r="H319" s="104"/>
      <c r="I319" s="104" t="str">
        <f>IFERROR(_xlfn.XLOOKUP($A319,'Raw Data'!$G:$G,'Raw Data'!$AC:$AC),"")</f>
        <v/>
      </c>
      <c r="J319" s="104"/>
      <c r="K319" s="104" t="str">
        <f>IFERROR(_xlfn.XLOOKUP($A319,'Raw Data'!$G:$G,'Raw Data'!AD:AD),"")</f>
        <v/>
      </c>
      <c r="L319" s="104" t="str">
        <f>IFERROR(_xlfn.XLOOKUP($A319,'Raw Data'!$G:$G,'Raw Data'!AE:AE),"")</f>
        <v/>
      </c>
      <c r="M319" s="104" t="str">
        <f>IFERROR(_xlfn.XLOOKUP($A319,'Raw Data'!$G:$G,'Raw Data'!AF:AF),"")</f>
        <v/>
      </c>
      <c r="N319" s="104" t="str">
        <f>IFERROR(_xlfn.XLOOKUP($A319,'Raw Data'!$G:$G,'Raw Data'!AG:AG),"")</f>
        <v/>
      </c>
      <c r="O319" s="105" t="str">
        <f>IFERROR(1-SUMIF('Plant BD'!$B:$B,$A319,'Plant BD'!$AM:$AM)/($AA319+SUMIF('Plant BD'!$B:$B,$A319,'Plant BD'!$AM:$AM)),"")</f>
        <v/>
      </c>
      <c r="P319" s="105"/>
      <c r="Q319" s="106"/>
      <c r="R319" s="105" t="str">
        <f>IFERROR(1-SUMIF('Grid BD'!$B:$B,$A319,'Grid BD'!$AE:$AE)/($AA319+SUMIF('Grid BD'!$B:$B,$A319,'Grid BD'!$AE:$AE)),"")</f>
        <v/>
      </c>
      <c r="T319" s="106"/>
      <c r="U319" s="107" t="str">
        <f t="shared" si="21"/>
        <v/>
      </c>
      <c r="V319" s="107"/>
      <c r="W319" s="108" t="str">
        <f t="shared" si="22"/>
        <v/>
      </c>
      <c r="X319" s="101" t="str">
        <f>IFERROR(_xlfn.XLOOKUP($A319,'Raw Data'!$G:$G,'Raw Data'!AI:AI),"")</f>
        <v/>
      </c>
      <c r="Y319" s="101" t="str">
        <f>IFERROR(_xlfn.XLOOKUP($A319,'Raw Data'!$G:$G,'Raw Data'!AJ:AJ),"")</f>
        <v/>
      </c>
      <c r="Z319" s="101" t="str">
        <f>IFERROR(_xlfn.XLOOKUP($A319,'Raw Data'!$G:$G,'Raw Data'!AK:AK),"")</f>
        <v/>
      </c>
      <c r="AA319" s="101" t="str">
        <f>IFERROR(_xlfn.XLOOKUP($A319,'Raw Data'!$G:$G,'Raw Data'!$AL:$AL)*(1+(_xlfn.XLOOKUP(Table13[[#This Row],[Month Year]],JMR!$A:$A,JMR!$J:$J))),"")</f>
        <v/>
      </c>
      <c r="AB319" s="101" t="str">
        <f>IFERROR(_xlfn.XLOOKUP($A319,'Raw Data'!$G:$G,'Raw Data'!H:H),"")</f>
        <v/>
      </c>
      <c r="AC319" s="67">
        <f>IFERROR(_xlfn.XLOOKUP($D319,'Modelling New'!$D:$D,'Modelling New'!P:P),"")</f>
        <v>6.5714285714285712</v>
      </c>
      <c r="AD319" s="101">
        <f>IFERROR(_xlfn.XLOOKUP($D319,'Modelling New'!$D:$D,'Modelling New'!$T:$T)*1000,"")</f>
        <v>33989.340219935533</v>
      </c>
      <c r="AE319" s="109">
        <f>IFERROR(_xlfn.XLOOKUP($D319,'Modelling New'!$D:$D,'Modelling New'!O:O),"")</f>
        <v>0.64485168784471436</v>
      </c>
      <c r="AF319" s="108">
        <f>IFERROR(_xlfn.XLOOKUP($D319,'Modelling New'!$D:$D,'Modelling New'!W:W),"")</f>
        <v>0.17656653357652891</v>
      </c>
      <c r="AG319" s="108">
        <f>IFERROR(_xlfn.XLOOKUP($D319,'Modelling New'!$D:$D,'Modelling New'!AE:AE),"")</f>
        <v>0.98040000000000005</v>
      </c>
      <c r="AH319" s="128">
        <f>IFERROR(_xlfn.XLOOKUP($D319,'Modelling New'!$D:$D,'Modelling New'!AF:AF),"")</f>
        <v>0.98</v>
      </c>
      <c r="AN319" s="105"/>
      <c r="AO319" s="108"/>
      <c r="AP319" s="108"/>
      <c r="AQ319" s="108"/>
      <c r="AR319" s="101">
        <f>'Basic Data'!$B$98/1000</f>
        <v>8.0208999999999993</v>
      </c>
      <c r="AT319" s="7" t="str">
        <f>IFERROR(_xlfn.XLOOKUP(Table13[[#This Row],[Date]],'Raw Data'!$G:$G,'Raw Data'!$AN:$AN),"")</f>
        <v/>
      </c>
      <c r="AU319" s="7">
        <f>IFERROR(_xlfn.XLOOKUP(Table13[[#This Row],[Month Year]],'Modelling New'!$D:$D,'Modelling New'!$AO:$AO),"")</f>
        <v>8</v>
      </c>
      <c r="AV319" s="7">
        <f>SUMIF('Curtailment Records'!$C:$C,Table13[[#This Row],[Date]],'Curtailment Records'!$R:$R)/1000</f>
        <v>0</v>
      </c>
    </row>
    <row r="320" spans="1:48" x14ac:dyDescent="0.3">
      <c r="A320" s="100">
        <f t="shared" si="23"/>
        <v>46063</v>
      </c>
      <c r="B320" s="101">
        <f>YEAR(Table13[[#This Row],[Date]])+IF(MONTH(Table13[[#This Row],[Date]])&gt;=4,1,0)</f>
        <v>2026</v>
      </c>
      <c r="C320" s="7">
        <f>YEAR(Table13[[#This Row],[Date]])</f>
        <v>2026</v>
      </c>
      <c r="D320" s="102">
        <f>Table13[[#This Row],[Date]]-DAY(Table13[[#This Row],[Date]])+1</f>
        <v>46054</v>
      </c>
      <c r="E320" s="7">
        <f t="shared" si="20"/>
        <v>28</v>
      </c>
      <c r="F320" s="103" t="str">
        <f>IFERROR(_xlfn.XLOOKUP($A320,'Raw Data'!$G:$G,'Raw Data'!$AM:$AM),"")</f>
        <v/>
      </c>
      <c r="G320" s="104" t="str">
        <f>IFERROR(_xlfn.XLOOKUP($A320,'Raw Data'!$G:$G,'Raw Data'!$AB:$AB),"")</f>
        <v/>
      </c>
      <c r="H320" s="104"/>
      <c r="I320" s="104" t="str">
        <f>IFERROR(_xlfn.XLOOKUP($A320,'Raw Data'!$G:$G,'Raw Data'!$AC:$AC),"")</f>
        <v/>
      </c>
      <c r="J320" s="104"/>
      <c r="K320" s="104" t="str">
        <f>IFERROR(_xlfn.XLOOKUP($A320,'Raw Data'!$G:$G,'Raw Data'!AD:AD),"")</f>
        <v/>
      </c>
      <c r="L320" s="104" t="str">
        <f>IFERROR(_xlfn.XLOOKUP($A320,'Raw Data'!$G:$G,'Raw Data'!AE:AE),"")</f>
        <v/>
      </c>
      <c r="M320" s="104" t="str">
        <f>IFERROR(_xlfn.XLOOKUP($A320,'Raw Data'!$G:$G,'Raw Data'!AF:AF),"")</f>
        <v/>
      </c>
      <c r="N320" s="104" t="str">
        <f>IFERROR(_xlfn.XLOOKUP($A320,'Raw Data'!$G:$G,'Raw Data'!AG:AG),"")</f>
        <v/>
      </c>
      <c r="O320" s="105" t="str">
        <f>IFERROR(1-SUMIF('Plant BD'!$B:$B,$A320,'Plant BD'!$AM:$AM)/($AA320+SUMIF('Plant BD'!$B:$B,$A320,'Plant BD'!$AM:$AM)),"")</f>
        <v/>
      </c>
      <c r="P320" s="105"/>
      <c r="Q320" s="106"/>
      <c r="R320" s="105" t="str">
        <f>IFERROR(1-SUMIF('Grid BD'!$B:$B,$A320,'Grid BD'!$AE:$AE)/($AA320+SUMIF('Grid BD'!$B:$B,$A320,'Grid BD'!$AE:$AE)),"")</f>
        <v/>
      </c>
      <c r="T320" s="106"/>
      <c r="U320" s="107" t="str">
        <f t="shared" si="21"/>
        <v/>
      </c>
      <c r="V320" s="107"/>
      <c r="W320" s="108" t="str">
        <f t="shared" si="22"/>
        <v/>
      </c>
      <c r="X320" s="101" t="str">
        <f>IFERROR(_xlfn.XLOOKUP($A320,'Raw Data'!$G:$G,'Raw Data'!AI:AI),"")</f>
        <v/>
      </c>
      <c r="Y320" s="101" t="str">
        <f>IFERROR(_xlfn.XLOOKUP($A320,'Raw Data'!$G:$G,'Raw Data'!AJ:AJ),"")</f>
        <v/>
      </c>
      <c r="Z320" s="101" t="str">
        <f>IFERROR(_xlfn.XLOOKUP($A320,'Raw Data'!$G:$G,'Raw Data'!AK:AK),"")</f>
        <v/>
      </c>
      <c r="AA320" s="101" t="str">
        <f>IFERROR(_xlfn.XLOOKUP($A320,'Raw Data'!$G:$G,'Raw Data'!$AL:$AL)*(1+(_xlfn.XLOOKUP(Table13[[#This Row],[Month Year]],JMR!$A:$A,JMR!$J:$J))),"")</f>
        <v/>
      </c>
      <c r="AB320" s="101" t="str">
        <f>IFERROR(_xlfn.XLOOKUP($A320,'Raw Data'!$G:$G,'Raw Data'!H:H),"")</f>
        <v/>
      </c>
      <c r="AC320" s="67">
        <f>IFERROR(_xlfn.XLOOKUP($D320,'Modelling New'!$D:$D,'Modelling New'!P:P),"")</f>
        <v>6.5714285714285712</v>
      </c>
      <c r="AD320" s="101">
        <f>IFERROR(_xlfn.XLOOKUP($D320,'Modelling New'!$D:$D,'Modelling New'!$T:$T)*1000,"")</f>
        <v>33989.340219935533</v>
      </c>
      <c r="AE320" s="109">
        <f>IFERROR(_xlfn.XLOOKUP($D320,'Modelling New'!$D:$D,'Modelling New'!O:O),"")</f>
        <v>0.64485168784471436</v>
      </c>
      <c r="AF320" s="108">
        <f>IFERROR(_xlfn.XLOOKUP($D320,'Modelling New'!$D:$D,'Modelling New'!W:W),"")</f>
        <v>0.17656653357652891</v>
      </c>
      <c r="AG320" s="108">
        <f>IFERROR(_xlfn.XLOOKUP($D320,'Modelling New'!$D:$D,'Modelling New'!AE:AE),"")</f>
        <v>0.98040000000000005</v>
      </c>
      <c r="AH320" s="128">
        <f>IFERROR(_xlfn.XLOOKUP($D320,'Modelling New'!$D:$D,'Modelling New'!AF:AF),"")</f>
        <v>0.98</v>
      </c>
      <c r="AN320" s="105"/>
      <c r="AO320" s="108"/>
      <c r="AP320" s="108"/>
      <c r="AQ320" s="108"/>
      <c r="AR320" s="101">
        <f>'Basic Data'!$B$98/1000</f>
        <v>8.0208999999999993</v>
      </c>
      <c r="AT320" s="7" t="str">
        <f>IFERROR(_xlfn.XLOOKUP(Table13[[#This Row],[Date]],'Raw Data'!$G:$G,'Raw Data'!$AN:$AN),"")</f>
        <v/>
      </c>
      <c r="AU320" s="7">
        <f>IFERROR(_xlfn.XLOOKUP(Table13[[#This Row],[Month Year]],'Modelling New'!$D:$D,'Modelling New'!$AO:$AO),"")</f>
        <v>8</v>
      </c>
      <c r="AV320" s="7">
        <f>SUMIF('Curtailment Records'!$C:$C,Table13[[#This Row],[Date]],'Curtailment Records'!$R:$R)/1000</f>
        <v>0</v>
      </c>
    </row>
    <row r="321" spans="1:48" x14ac:dyDescent="0.3">
      <c r="A321" s="100">
        <f t="shared" si="23"/>
        <v>46064</v>
      </c>
      <c r="B321" s="101">
        <f>YEAR(Table13[[#This Row],[Date]])+IF(MONTH(Table13[[#This Row],[Date]])&gt;=4,1,0)</f>
        <v>2026</v>
      </c>
      <c r="C321" s="7">
        <f>YEAR(Table13[[#This Row],[Date]])</f>
        <v>2026</v>
      </c>
      <c r="D321" s="102">
        <f>Table13[[#This Row],[Date]]-DAY(Table13[[#This Row],[Date]])+1</f>
        <v>46054</v>
      </c>
      <c r="E321" s="7">
        <f t="shared" si="20"/>
        <v>28</v>
      </c>
      <c r="F321" s="103" t="str">
        <f>IFERROR(_xlfn.XLOOKUP($A321,'Raw Data'!$G:$G,'Raw Data'!$AM:$AM),"")</f>
        <v/>
      </c>
      <c r="G321" s="104" t="str">
        <f>IFERROR(_xlfn.XLOOKUP($A321,'Raw Data'!$G:$G,'Raw Data'!$AB:$AB),"")</f>
        <v/>
      </c>
      <c r="H321" s="104"/>
      <c r="I321" s="104" t="str">
        <f>IFERROR(_xlfn.XLOOKUP($A321,'Raw Data'!$G:$G,'Raw Data'!$AC:$AC),"")</f>
        <v/>
      </c>
      <c r="J321" s="104"/>
      <c r="K321" s="104" t="str">
        <f>IFERROR(_xlfn.XLOOKUP($A321,'Raw Data'!$G:$G,'Raw Data'!AD:AD),"")</f>
        <v/>
      </c>
      <c r="L321" s="104" t="str">
        <f>IFERROR(_xlfn.XLOOKUP($A321,'Raw Data'!$G:$G,'Raw Data'!AE:AE),"")</f>
        <v/>
      </c>
      <c r="M321" s="104" t="str">
        <f>IFERROR(_xlfn.XLOOKUP($A321,'Raw Data'!$G:$G,'Raw Data'!AF:AF),"")</f>
        <v/>
      </c>
      <c r="N321" s="104" t="str">
        <f>IFERROR(_xlfn.XLOOKUP($A321,'Raw Data'!$G:$G,'Raw Data'!AG:AG),"")</f>
        <v/>
      </c>
      <c r="O321" s="105" t="str">
        <f>IFERROR(1-SUMIF('Plant BD'!$B:$B,$A321,'Plant BD'!$AM:$AM)/($AA321+SUMIF('Plant BD'!$B:$B,$A321,'Plant BD'!$AM:$AM)),"")</f>
        <v/>
      </c>
      <c r="P321" s="105"/>
      <c r="Q321" s="106"/>
      <c r="R321" s="105" t="str">
        <f>IFERROR(1-SUMIF('Grid BD'!$B:$B,$A321,'Grid BD'!$AE:$AE)/($AA321+SUMIF('Grid BD'!$B:$B,$A321,'Grid BD'!$AE:$AE)),"")</f>
        <v/>
      </c>
      <c r="T321" s="106"/>
      <c r="U321" s="107" t="str">
        <f t="shared" si="21"/>
        <v/>
      </c>
      <c r="V321" s="107"/>
      <c r="W321" s="108" t="str">
        <f t="shared" si="22"/>
        <v/>
      </c>
      <c r="X321" s="101" t="str">
        <f>IFERROR(_xlfn.XLOOKUP($A321,'Raw Data'!$G:$G,'Raw Data'!AI:AI),"")</f>
        <v/>
      </c>
      <c r="Y321" s="101" t="str">
        <f>IFERROR(_xlfn.XLOOKUP($A321,'Raw Data'!$G:$G,'Raw Data'!AJ:AJ),"")</f>
        <v/>
      </c>
      <c r="Z321" s="101" t="str">
        <f>IFERROR(_xlfn.XLOOKUP($A321,'Raw Data'!$G:$G,'Raw Data'!AK:AK),"")</f>
        <v/>
      </c>
      <c r="AA321" s="101" t="str">
        <f>IFERROR(_xlfn.XLOOKUP($A321,'Raw Data'!$G:$G,'Raw Data'!$AL:$AL)*(1+(_xlfn.XLOOKUP(Table13[[#This Row],[Month Year]],JMR!$A:$A,JMR!$J:$J))),"")</f>
        <v/>
      </c>
      <c r="AB321" s="101" t="str">
        <f>IFERROR(_xlfn.XLOOKUP($A321,'Raw Data'!$G:$G,'Raw Data'!H:H),"")</f>
        <v/>
      </c>
      <c r="AC321" s="67">
        <f>IFERROR(_xlfn.XLOOKUP($D321,'Modelling New'!$D:$D,'Modelling New'!P:P),"")</f>
        <v>6.5714285714285712</v>
      </c>
      <c r="AD321" s="101">
        <f>IFERROR(_xlfn.XLOOKUP($D321,'Modelling New'!$D:$D,'Modelling New'!$T:$T)*1000,"")</f>
        <v>33989.340219935533</v>
      </c>
      <c r="AE321" s="109">
        <f>IFERROR(_xlfn.XLOOKUP($D321,'Modelling New'!$D:$D,'Modelling New'!O:O),"")</f>
        <v>0.64485168784471436</v>
      </c>
      <c r="AF321" s="108">
        <f>IFERROR(_xlfn.XLOOKUP($D321,'Modelling New'!$D:$D,'Modelling New'!W:W),"")</f>
        <v>0.17656653357652891</v>
      </c>
      <c r="AG321" s="108">
        <f>IFERROR(_xlfn.XLOOKUP($D321,'Modelling New'!$D:$D,'Modelling New'!AE:AE),"")</f>
        <v>0.98040000000000005</v>
      </c>
      <c r="AH321" s="128">
        <f>IFERROR(_xlfn.XLOOKUP($D321,'Modelling New'!$D:$D,'Modelling New'!AF:AF),"")</f>
        <v>0.98</v>
      </c>
      <c r="AN321" s="105"/>
      <c r="AO321" s="108"/>
      <c r="AP321" s="108"/>
      <c r="AQ321" s="108"/>
      <c r="AR321" s="101">
        <f>'Basic Data'!$B$98/1000</f>
        <v>8.0208999999999993</v>
      </c>
      <c r="AT321" s="7" t="str">
        <f>IFERROR(_xlfn.XLOOKUP(Table13[[#This Row],[Date]],'Raw Data'!$G:$G,'Raw Data'!$AN:$AN),"")</f>
        <v/>
      </c>
      <c r="AU321" s="7">
        <f>IFERROR(_xlfn.XLOOKUP(Table13[[#This Row],[Month Year]],'Modelling New'!$D:$D,'Modelling New'!$AO:$AO),"")</f>
        <v>8</v>
      </c>
      <c r="AV321" s="7">
        <f>SUMIF('Curtailment Records'!$C:$C,Table13[[#This Row],[Date]],'Curtailment Records'!$R:$R)/1000</f>
        <v>0</v>
      </c>
    </row>
    <row r="322" spans="1:48" x14ac:dyDescent="0.3">
      <c r="A322" s="100">
        <f t="shared" si="23"/>
        <v>46065</v>
      </c>
      <c r="B322" s="101">
        <f>YEAR(Table13[[#This Row],[Date]])+IF(MONTH(Table13[[#This Row],[Date]])&gt;=4,1,0)</f>
        <v>2026</v>
      </c>
      <c r="C322" s="7">
        <f>YEAR(Table13[[#This Row],[Date]])</f>
        <v>2026</v>
      </c>
      <c r="D322" s="102">
        <f>Table13[[#This Row],[Date]]-DAY(Table13[[#This Row],[Date]])+1</f>
        <v>46054</v>
      </c>
      <c r="E322" s="7">
        <f t="shared" si="20"/>
        <v>28</v>
      </c>
      <c r="F322" s="103" t="str">
        <f>IFERROR(_xlfn.XLOOKUP($A322,'Raw Data'!$G:$G,'Raw Data'!$AM:$AM),"")</f>
        <v/>
      </c>
      <c r="G322" s="104" t="str">
        <f>IFERROR(_xlfn.XLOOKUP($A322,'Raw Data'!$G:$G,'Raw Data'!$AB:$AB),"")</f>
        <v/>
      </c>
      <c r="H322" s="104"/>
      <c r="I322" s="104" t="str">
        <f>IFERROR(_xlfn.XLOOKUP($A322,'Raw Data'!$G:$G,'Raw Data'!$AC:$AC),"")</f>
        <v/>
      </c>
      <c r="J322" s="104"/>
      <c r="K322" s="104" t="str">
        <f>IFERROR(_xlfn.XLOOKUP($A322,'Raw Data'!$G:$G,'Raw Data'!AD:AD),"")</f>
        <v/>
      </c>
      <c r="L322" s="104" t="str">
        <f>IFERROR(_xlfn.XLOOKUP($A322,'Raw Data'!$G:$G,'Raw Data'!AE:AE),"")</f>
        <v/>
      </c>
      <c r="M322" s="104" t="str">
        <f>IFERROR(_xlfn.XLOOKUP($A322,'Raw Data'!$G:$G,'Raw Data'!AF:AF),"")</f>
        <v/>
      </c>
      <c r="N322" s="104" t="str">
        <f>IFERROR(_xlfn.XLOOKUP($A322,'Raw Data'!$G:$G,'Raw Data'!AG:AG),"")</f>
        <v/>
      </c>
      <c r="O322" s="105" t="str">
        <f>IFERROR(1-SUMIF('Plant BD'!$B:$B,$A322,'Plant BD'!$AM:$AM)/($AA322+SUMIF('Plant BD'!$B:$B,$A322,'Plant BD'!$AM:$AM)),"")</f>
        <v/>
      </c>
      <c r="P322" s="105"/>
      <c r="Q322" s="106"/>
      <c r="R322" s="105" t="str">
        <f>IFERROR(1-SUMIF('Grid BD'!$B:$B,$A322,'Grid BD'!$AE:$AE)/($AA322+SUMIF('Grid BD'!$B:$B,$A322,'Grid BD'!$AE:$AE)),"")</f>
        <v/>
      </c>
      <c r="T322" s="106"/>
      <c r="U322" s="107" t="str">
        <f t="shared" si="21"/>
        <v/>
      </c>
      <c r="V322" s="107"/>
      <c r="W322" s="108" t="str">
        <f t="shared" si="22"/>
        <v/>
      </c>
      <c r="X322" s="101" t="str">
        <f>IFERROR(_xlfn.XLOOKUP($A322,'Raw Data'!$G:$G,'Raw Data'!AI:AI),"")</f>
        <v/>
      </c>
      <c r="Y322" s="101" t="str">
        <f>IFERROR(_xlfn.XLOOKUP($A322,'Raw Data'!$G:$G,'Raw Data'!AJ:AJ),"")</f>
        <v/>
      </c>
      <c r="Z322" s="101" t="str">
        <f>IFERROR(_xlfn.XLOOKUP($A322,'Raw Data'!$G:$G,'Raw Data'!AK:AK),"")</f>
        <v/>
      </c>
      <c r="AA322" s="101" t="str">
        <f>IFERROR(_xlfn.XLOOKUP($A322,'Raw Data'!$G:$G,'Raw Data'!$AL:$AL)*(1+(_xlfn.XLOOKUP(Table13[[#This Row],[Month Year]],JMR!$A:$A,JMR!$J:$J))),"")</f>
        <v/>
      </c>
      <c r="AB322" s="101" t="str">
        <f>IFERROR(_xlfn.XLOOKUP($A322,'Raw Data'!$G:$G,'Raw Data'!H:H),"")</f>
        <v/>
      </c>
      <c r="AC322" s="67">
        <f>IFERROR(_xlfn.XLOOKUP($D322,'Modelling New'!$D:$D,'Modelling New'!P:P),"")</f>
        <v>6.5714285714285712</v>
      </c>
      <c r="AD322" s="101">
        <f>IFERROR(_xlfn.XLOOKUP($D322,'Modelling New'!$D:$D,'Modelling New'!$T:$T)*1000,"")</f>
        <v>33989.340219935533</v>
      </c>
      <c r="AE322" s="109">
        <f>IFERROR(_xlfn.XLOOKUP($D322,'Modelling New'!$D:$D,'Modelling New'!O:O),"")</f>
        <v>0.64485168784471436</v>
      </c>
      <c r="AF322" s="108">
        <f>IFERROR(_xlfn.XLOOKUP($D322,'Modelling New'!$D:$D,'Modelling New'!W:W),"")</f>
        <v>0.17656653357652891</v>
      </c>
      <c r="AG322" s="108">
        <f>IFERROR(_xlfn.XLOOKUP($D322,'Modelling New'!$D:$D,'Modelling New'!AE:AE),"")</f>
        <v>0.98040000000000005</v>
      </c>
      <c r="AH322" s="128">
        <f>IFERROR(_xlfn.XLOOKUP($D322,'Modelling New'!$D:$D,'Modelling New'!AF:AF),"")</f>
        <v>0.98</v>
      </c>
      <c r="AN322" s="105"/>
      <c r="AO322" s="108"/>
      <c r="AP322" s="108"/>
      <c r="AQ322" s="108"/>
      <c r="AR322" s="101">
        <f>'Basic Data'!$B$98/1000</f>
        <v>8.0208999999999993</v>
      </c>
      <c r="AT322" s="7" t="str">
        <f>IFERROR(_xlfn.XLOOKUP(Table13[[#This Row],[Date]],'Raw Data'!$G:$G,'Raw Data'!$AN:$AN),"")</f>
        <v/>
      </c>
      <c r="AU322" s="7">
        <f>IFERROR(_xlfn.XLOOKUP(Table13[[#This Row],[Month Year]],'Modelling New'!$D:$D,'Modelling New'!$AO:$AO),"")</f>
        <v>8</v>
      </c>
      <c r="AV322" s="7">
        <f>SUMIF('Curtailment Records'!$C:$C,Table13[[#This Row],[Date]],'Curtailment Records'!$R:$R)/1000</f>
        <v>0</v>
      </c>
    </row>
    <row r="323" spans="1:48" x14ac:dyDescent="0.3">
      <c r="A323" s="100">
        <f t="shared" si="23"/>
        <v>46066</v>
      </c>
      <c r="B323" s="101">
        <f>YEAR(Table13[[#This Row],[Date]])+IF(MONTH(Table13[[#This Row],[Date]])&gt;=4,1,0)</f>
        <v>2026</v>
      </c>
      <c r="C323" s="7">
        <f>YEAR(Table13[[#This Row],[Date]])</f>
        <v>2026</v>
      </c>
      <c r="D323" s="102">
        <f>Table13[[#This Row],[Date]]-DAY(Table13[[#This Row],[Date]])+1</f>
        <v>46054</v>
      </c>
      <c r="E323" s="7">
        <f t="shared" si="20"/>
        <v>28</v>
      </c>
      <c r="F323" s="103" t="str">
        <f>IFERROR(_xlfn.XLOOKUP($A323,'Raw Data'!$G:$G,'Raw Data'!$AM:$AM),"")</f>
        <v/>
      </c>
      <c r="G323" s="104" t="str">
        <f>IFERROR(_xlfn.XLOOKUP($A323,'Raw Data'!$G:$G,'Raw Data'!$AB:$AB),"")</f>
        <v/>
      </c>
      <c r="H323" s="104"/>
      <c r="I323" s="104" t="str">
        <f>IFERROR(_xlfn.XLOOKUP($A323,'Raw Data'!$G:$G,'Raw Data'!$AC:$AC),"")</f>
        <v/>
      </c>
      <c r="J323" s="104"/>
      <c r="K323" s="104" t="str">
        <f>IFERROR(_xlfn.XLOOKUP($A323,'Raw Data'!$G:$G,'Raw Data'!AD:AD),"")</f>
        <v/>
      </c>
      <c r="L323" s="104" t="str">
        <f>IFERROR(_xlfn.XLOOKUP($A323,'Raw Data'!$G:$G,'Raw Data'!AE:AE),"")</f>
        <v/>
      </c>
      <c r="M323" s="104" t="str">
        <f>IFERROR(_xlfn.XLOOKUP($A323,'Raw Data'!$G:$G,'Raw Data'!AF:AF),"")</f>
        <v/>
      </c>
      <c r="N323" s="104" t="str">
        <f>IFERROR(_xlfn.XLOOKUP($A323,'Raw Data'!$G:$G,'Raw Data'!AG:AG),"")</f>
        <v/>
      </c>
      <c r="O323" s="105" t="str">
        <f>IFERROR(1-SUMIF('Plant BD'!$B:$B,$A323,'Plant BD'!$AM:$AM)/($AA323+SUMIF('Plant BD'!$B:$B,$A323,'Plant BD'!$AM:$AM)),"")</f>
        <v/>
      </c>
      <c r="P323" s="105"/>
      <c r="Q323" s="106"/>
      <c r="R323" s="105" t="str">
        <f>IFERROR(1-SUMIF('Grid BD'!$B:$B,$A323,'Grid BD'!$AE:$AE)/($AA323+SUMIF('Grid BD'!$B:$B,$A323,'Grid BD'!$AE:$AE)),"")</f>
        <v/>
      </c>
      <c r="T323" s="106"/>
      <c r="U323" s="107" t="str">
        <f t="shared" si="21"/>
        <v/>
      </c>
      <c r="V323" s="107"/>
      <c r="W323" s="108" t="str">
        <f t="shared" si="22"/>
        <v/>
      </c>
      <c r="X323" s="101" t="str">
        <f>IFERROR(_xlfn.XLOOKUP($A323,'Raw Data'!$G:$G,'Raw Data'!AI:AI),"")</f>
        <v/>
      </c>
      <c r="Y323" s="101" t="str">
        <f>IFERROR(_xlfn.XLOOKUP($A323,'Raw Data'!$G:$G,'Raw Data'!AJ:AJ),"")</f>
        <v/>
      </c>
      <c r="Z323" s="101" t="str">
        <f>IFERROR(_xlfn.XLOOKUP($A323,'Raw Data'!$G:$G,'Raw Data'!AK:AK),"")</f>
        <v/>
      </c>
      <c r="AA323" s="101" t="str">
        <f>IFERROR(_xlfn.XLOOKUP($A323,'Raw Data'!$G:$G,'Raw Data'!$AL:$AL)*(1+(_xlfn.XLOOKUP(Table13[[#This Row],[Month Year]],JMR!$A:$A,JMR!$J:$J))),"")</f>
        <v/>
      </c>
      <c r="AB323" s="101" t="str">
        <f>IFERROR(_xlfn.XLOOKUP($A323,'Raw Data'!$G:$G,'Raw Data'!H:H),"")</f>
        <v/>
      </c>
      <c r="AC323" s="67">
        <f>IFERROR(_xlfn.XLOOKUP($D323,'Modelling New'!$D:$D,'Modelling New'!P:P),"")</f>
        <v>6.5714285714285712</v>
      </c>
      <c r="AD323" s="101">
        <f>IFERROR(_xlfn.XLOOKUP($D323,'Modelling New'!$D:$D,'Modelling New'!$T:$T)*1000,"")</f>
        <v>33989.340219935533</v>
      </c>
      <c r="AE323" s="109">
        <f>IFERROR(_xlfn.XLOOKUP($D323,'Modelling New'!$D:$D,'Modelling New'!O:O),"")</f>
        <v>0.64485168784471436</v>
      </c>
      <c r="AF323" s="108">
        <f>IFERROR(_xlfn.XLOOKUP($D323,'Modelling New'!$D:$D,'Modelling New'!W:W),"")</f>
        <v>0.17656653357652891</v>
      </c>
      <c r="AG323" s="108">
        <f>IFERROR(_xlfn.XLOOKUP($D323,'Modelling New'!$D:$D,'Modelling New'!AE:AE),"")</f>
        <v>0.98040000000000005</v>
      </c>
      <c r="AH323" s="128">
        <f>IFERROR(_xlfn.XLOOKUP($D323,'Modelling New'!$D:$D,'Modelling New'!AF:AF),"")</f>
        <v>0.98</v>
      </c>
      <c r="AN323" s="105"/>
      <c r="AO323" s="108"/>
      <c r="AP323" s="108"/>
      <c r="AQ323" s="108"/>
      <c r="AR323" s="101">
        <f>'Basic Data'!$B$98/1000</f>
        <v>8.0208999999999993</v>
      </c>
      <c r="AT323" s="7" t="str">
        <f>IFERROR(_xlfn.XLOOKUP(Table13[[#This Row],[Date]],'Raw Data'!$G:$G,'Raw Data'!$AN:$AN),"")</f>
        <v/>
      </c>
      <c r="AU323" s="7">
        <f>IFERROR(_xlfn.XLOOKUP(Table13[[#This Row],[Month Year]],'Modelling New'!$D:$D,'Modelling New'!$AO:$AO),"")</f>
        <v>8</v>
      </c>
      <c r="AV323" s="7">
        <f>SUMIF('Curtailment Records'!$C:$C,Table13[[#This Row],[Date]],'Curtailment Records'!$R:$R)/1000</f>
        <v>0</v>
      </c>
    </row>
    <row r="324" spans="1:48" x14ac:dyDescent="0.3">
      <c r="A324" s="100">
        <f t="shared" si="23"/>
        <v>46067</v>
      </c>
      <c r="B324" s="101">
        <f>YEAR(Table13[[#This Row],[Date]])+IF(MONTH(Table13[[#This Row],[Date]])&gt;=4,1,0)</f>
        <v>2026</v>
      </c>
      <c r="C324" s="7">
        <f>YEAR(Table13[[#This Row],[Date]])</f>
        <v>2026</v>
      </c>
      <c r="D324" s="102">
        <f>Table13[[#This Row],[Date]]-DAY(Table13[[#This Row],[Date]])+1</f>
        <v>46054</v>
      </c>
      <c r="E324" s="7">
        <f t="shared" si="20"/>
        <v>28</v>
      </c>
      <c r="F324" s="103" t="str">
        <f>IFERROR(_xlfn.XLOOKUP($A324,'Raw Data'!$G:$G,'Raw Data'!$AM:$AM),"")</f>
        <v/>
      </c>
      <c r="G324" s="104" t="str">
        <f>IFERROR(_xlfn.XLOOKUP($A324,'Raw Data'!$G:$G,'Raw Data'!$AB:$AB),"")</f>
        <v/>
      </c>
      <c r="H324" s="104"/>
      <c r="I324" s="104" t="str">
        <f>IFERROR(_xlfn.XLOOKUP($A324,'Raw Data'!$G:$G,'Raw Data'!$AC:$AC),"")</f>
        <v/>
      </c>
      <c r="J324" s="104"/>
      <c r="K324" s="104" t="str">
        <f>IFERROR(_xlfn.XLOOKUP($A324,'Raw Data'!$G:$G,'Raw Data'!AD:AD),"")</f>
        <v/>
      </c>
      <c r="L324" s="104" t="str">
        <f>IFERROR(_xlfn.XLOOKUP($A324,'Raw Data'!$G:$G,'Raw Data'!AE:AE),"")</f>
        <v/>
      </c>
      <c r="M324" s="104" t="str">
        <f>IFERROR(_xlfn.XLOOKUP($A324,'Raw Data'!$G:$G,'Raw Data'!AF:AF),"")</f>
        <v/>
      </c>
      <c r="N324" s="104" t="str">
        <f>IFERROR(_xlfn.XLOOKUP($A324,'Raw Data'!$G:$G,'Raw Data'!AG:AG),"")</f>
        <v/>
      </c>
      <c r="O324" s="105" t="str">
        <f>IFERROR(1-SUMIF('Plant BD'!$B:$B,$A324,'Plant BD'!$AM:$AM)/($AA324+SUMIF('Plant BD'!$B:$B,$A324,'Plant BD'!$AM:$AM)),"")</f>
        <v/>
      </c>
      <c r="P324" s="105"/>
      <c r="Q324" s="106"/>
      <c r="R324" s="105" t="str">
        <f>IFERROR(1-SUMIF('Grid BD'!$B:$B,$A324,'Grid BD'!$AE:$AE)/($AA324+SUMIF('Grid BD'!$B:$B,$A324,'Grid BD'!$AE:$AE)),"")</f>
        <v/>
      </c>
      <c r="T324" s="106"/>
      <c r="U324" s="107" t="str">
        <f t="shared" si="21"/>
        <v/>
      </c>
      <c r="V324" s="107"/>
      <c r="W324" s="108" t="str">
        <f t="shared" si="22"/>
        <v/>
      </c>
      <c r="X324" s="101" t="str">
        <f>IFERROR(_xlfn.XLOOKUP($A324,'Raw Data'!$G:$G,'Raw Data'!AI:AI),"")</f>
        <v/>
      </c>
      <c r="Y324" s="101" t="str">
        <f>IFERROR(_xlfn.XLOOKUP($A324,'Raw Data'!$G:$G,'Raw Data'!AJ:AJ),"")</f>
        <v/>
      </c>
      <c r="Z324" s="101" t="str">
        <f>IFERROR(_xlfn.XLOOKUP($A324,'Raw Data'!$G:$G,'Raw Data'!AK:AK),"")</f>
        <v/>
      </c>
      <c r="AA324" s="101" t="str">
        <f>IFERROR(_xlfn.XLOOKUP($A324,'Raw Data'!$G:$G,'Raw Data'!$AL:$AL)*(1+(_xlfn.XLOOKUP(Table13[[#This Row],[Month Year]],JMR!$A:$A,JMR!$J:$J))),"")</f>
        <v/>
      </c>
      <c r="AB324" s="101" t="str">
        <f>IFERROR(_xlfn.XLOOKUP($A324,'Raw Data'!$G:$G,'Raw Data'!H:H),"")</f>
        <v/>
      </c>
      <c r="AC324" s="67">
        <f>IFERROR(_xlfn.XLOOKUP($D324,'Modelling New'!$D:$D,'Modelling New'!P:P),"")</f>
        <v>6.5714285714285712</v>
      </c>
      <c r="AD324" s="101">
        <f>IFERROR(_xlfn.XLOOKUP($D324,'Modelling New'!$D:$D,'Modelling New'!$T:$T)*1000,"")</f>
        <v>33989.340219935533</v>
      </c>
      <c r="AE324" s="109">
        <f>IFERROR(_xlfn.XLOOKUP($D324,'Modelling New'!$D:$D,'Modelling New'!O:O),"")</f>
        <v>0.64485168784471436</v>
      </c>
      <c r="AF324" s="108">
        <f>IFERROR(_xlfn.XLOOKUP($D324,'Modelling New'!$D:$D,'Modelling New'!W:W),"")</f>
        <v>0.17656653357652891</v>
      </c>
      <c r="AG324" s="108">
        <f>IFERROR(_xlfn.XLOOKUP($D324,'Modelling New'!$D:$D,'Modelling New'!AE:AE),"")</f>
        <v>0.98040000000000005</v>
      </c>
      <c r="AH324" s="128">
        <f>IFERROR(_xlfn.XLOOKUP($D324,'Modelling New'!$D:$D,'Modelling New'!AF:AF),"")</f>
        <v>0.98</v>
      </c>
      <c r="AN324" s="105"/>
      <c r="AO324" s="108"/>
      <c r="AP324" s="108"/>
      <c r="AQ324" s="108"/>
      <c r="AR324" s="101">
        <f>'Basic Data'!$B$98/1000</f>
        <v>8.0208999999999993</v>
      </c>
      <c r="AT324" s="7" t="str">
        <f>IFERROR(_xlfn.XLOOKUP(Table13[[#This Row],[Date]],'Raw Data'!$G:$G,'Raw Data'!$AN:$AN),"")</f>
        <v/>
      </c>
      <c r="AU324" s="7">
        <f>IFERROR(_xlfn.XLOOKUP(Table13[[#This Row],[Month Year]],'Modelling New'!$D:$D,'Modelling New'!$AO:$AO),"")</f>
        <v>8</v>
      </c>
      <c r="AV324" s="7">
        <f>SUMIF('Curtailment Records'!$C:$C,Table13[[#This Row],[Date]],'Curtailment Records'!$R:$R)/1000</f>
        <v>0</v>
      </c>
    </row>
    <row r="325" spans="1:48" x14ac:dyDescent="0.3">
      <c r="A325" s="100">
        <f t="shared" si="23"/>
        <v>46068</v>
      </c>
      <c r="B325" s="101">
        <f>YEAR(Table13[[#This Row],[Date]])+IF(MONTH(Table13[[#This Row],[Date]])&gt;=4,1,0)</f>
        <v>2026</v>
      </c>
      <c r="C325" s="7">
        <f>YEAR(Table13[[#This Row],[Date]])</f>
        <v>2026</v>
      </c>
      <c r="D325" s="102">
        <f>Table13[[#This Row],[Date]]-DAY(Table13[[#This Row],[Date]])+1</f>
        <v>46054</v>
      </c>
      <c r="E325" s="7">
        <f t="shared" si="20"/>
        <v>28</v>
      </c>
      <c r="F325" s="103" t="str">
        <f>IFERROR(_xlfn.XLOOKUP($A325,'Raw Data'!$G:$G,'Raw Data'!$AM:$AM),"")</f>
        <v/>
      </c>
      <c r="G325" s="104" t="str">
        <f>IFERROR(_xlfn.XLOOKUP($A325,'Raw Data'!$G:$G,'Raw Data'!$AB:$AB),"")</f>
        <v/>
      </c>
      <c r="H325" s="104"/>
      <c r="I325" s="104" t="str">
        <f>IFERROR(_xlfn.XLOOKUP($A325,'Raw Data'!$G:$G,'Raw Data'!$AC:$AC),"")</f>
        <v/>
      </c>
      <c r="J325" s="104"/>
      <c r="K325" s="104" t="str">
        <f>IFERROR(_xlfn.XLOOKUP($A325,'Raw Data'!$G:$G,'Raw Data'!AD:AD),"")</f>
        <v/>
      </c>
      <c r="L325" s="104" t="str">
        <f>IFERROR(_xlfn.XLOOKUP($A325,'Raw Data'!$G:$G,'Raw Data'!AE:AE),"")</f>
        <v/>
      </c>
      <c r="M325" s="104" t="str">
        <f>IFERROR(_xlfn.XLOOKUP($A325,'Raw Data'!$G:$G,'Raw Data'!AF:AF),"")</f>
        <v/>
      </c>
      <c r="N325" s="104" t="str">
        <f>IFERROR(_xlfn.XLOOKUP($A325,'Raw Data'!$G:$G,'Raw Data'!AG:AG),"")</f>
        <v/>
      </c>
      <c r="O325" s="105" t="str">
        <f>IFERROR(1-SUMIF('Plant BD'!$B:$B,$A325,'Plant BD'!$AM:$AM)/($AA325+SUMIF('Plant BD'!$B:$B,$A325,'Plant BD'!$AM:$AM)),"")</f>
        <v/>
      </c>
      <c r="P325" s="105"/>
      <c r="Q325" s="106"/>
      <c r="R325" s="105" t="str">
        <f>IFERROR(1-SUMIF('Grid BD'!$B:$B,$A325,'Grid BD'!$AE:$AE)/($AA325+SUMIF('Grid BD'!$B:$B,$A325,'Grid BD'!$AE:$AE)),"")</f>
        <v/>
      </c>
      <c r="T325" s="106"/>
      <c r="U325" s="107" t="str">
        <f t="shared" si="21"/>
        <v/>
      </c>
      <c r="V325" s="107"/>
      <c r="W325" s="108" t="str">
        <f t="shared" si="22"/>
        <v/>
      </c>
      <c r="X325" s="101" t="str">
        <f>IFERROR(_xlfn.XLOOKUP($A325,'Raw Data'!$G:$G,'Raw Data'!AI:AI),"")</f>
        <v/>
      </c>
      <c r="Y325" s="101" t="str">
        <f>IFERROR(_xlfn.XLOOKUP($A325,'Raw Data'!$G:$G,'Raw Data'!AJ:AJ),"")</f>
        <v/>
      </c>
      <c r="Z325" s="101" t="str">
        <f>IFERROR(_xlfn.XLOOKUP($A325,'Raw Data'!$G:$G,'Raw Data'!AK:AK),"")</f>
        <v/>
      </c>
      <c r="AA325" s="101" t="str">
        <f>IFERROR(_xlfn.XLOOKUP($A325,'Raw Data'!$G:$G,'Raw Data'!$AL:$AL)*(1+(_xlfn.XLOOKUP(Table13[[#This Row],[Month Year]],JMR!$A:$A,JMR!$J:$J))),"")</f>
        <v/>
      </c>
      <c r="AB325" s="101" t="str">
        <f>IFERROR(_xlfn.XLOOKUP($A325,'Raw Data'!$G:$G,'Raw Data'!H:H),"")</f>
        <v/>
      </c>
      <c r="AC325" s="67">
        <f>IFERROR(_xlfn.XLOOKUP($D325,'Modelling New'!$D:$D,'Modelling New'!P:P),"")</f>
        <v>6.5714285714285712</v>
      </c>
      <c r="AD325" s="101">
        <f>IFERROR(_xlfn.XLOOKUP($D325,'Modelling New'!$D:$D,'Modelling New'!$T:$T)*1000,"")</f>
        <v>33989.340219935533</v>
      </c>
      <c r="AE325" s="109">
        <f>IFERROR(_xlfn.XLOOKUP($D325,'Modelling New'!$D:$D,'Modelling New'!O:O),"")</f>
        <v>0.64485168784471436</v>
      </c>
      <c r="AF325" s="108">
        <f>IFERROR(_xlfn.XLOOKUP($D325,'Modelling New'!$D:$D,'Modelling New'!W:W),"")</f>
        <v>0.17656653357652891</v>
      </c>
      <c r="AG325" s="108">
        <f>IFERROR(_xlfn.XLOOKUP($D325,'Modelling New'!$D:$D,'Modelling New'!AE:AE),"")</f>
        <v>0.98040000000000005</v>
      </c>
      <c r="AH325" s="128">
        <f>IFERROR(_xlfn.XLOOKUP($D325,'Modelling New'!$D:$D,'Modelling New'!AF:AF),"")</f>
        <v>0.98</v>
      </c>
      <c r="AN325" s="105"/>
      <c r="AO325" s="108"/>
      <c r="AP325" s="108"/>
      <c r="AQ325" s="108"/>
      <c r="AR325" s="101">
        <f>'Basic Data'!$B$98/1000</f>
        <v>8.0208999999999993</v>
      </c>
      <c r="AT325" s="7" t="str">
        <f>IFERROR(_xlfn.XLOOKUP(Table13[[#This Row],[Date]],'Raw Data'!$G:$G,'Raw Data'!$AN:$AN),"")</f>
        <v/>
      </c>
      <c r="AU325" s="7">
        <f>IFERROR(_xlfn.XLOOKUP(Table13[[#This Row],[Month Year]],'Modelling New'!$D:$D,'Modelling New'!$AO:$AO),"")</f>
        <v>8</v>
      </c>
      <c r="AV325" s="7">
        <f>SUMIF('Curtailment Records'!$C:$C,Table13[[#This Row],[Date]],'Curtailment Records'!$R:$R)/1000</f>
        <v>0</v>
      </c>
    </row>
    <row r="326" spans="1:48" x14ac:dyDescent="0.3">
      <c r="A326" s="100">
        <f t="shared" si="23"/>
        <v>46069</v>
      </c>
      <c r="B326" s="101">
        <f>YEAR(Table13[[#This Row],[Date]])+IF(MONTH(Table13[[#This Row],[Date]])&gt;=4,1,0)</f>
        <v>2026</v>
      </c>
      <c r="C326" s="7">
        <f>YEAR(Table13[[#This Row],[Date]])</f>
        <v>2026</v>
      </c>
      <c r="D326" s="102">
        <f>Table13[[#This Row],[Date]]-DAY(Table13[[#This Row],[Date]])+1</f>
        <v>46054</v>
      </c>
      <c r="E326" s="7">
        <f t="shared" si="20"/>
        <v>28</v>
      </c>
      <c r="F326" s="103" t="str">
        <f>IFERROR(_xlfn.XLOOKUP($A326,'Raw Data'!$G:$G,'Raw Data'!$AM:$AM),"")</f>
        <v/>
      </c>
      <c r="G326" s="104" t="str">
        <f>IFERROR(_xlfn.XLOOKUP($A326,'Raw Data'!$G:$G,'Raw Data'!$AB:$AB),"")</f>
        <v/>
      </c>
      <c r="H326" s="104"/>
      <c r="I326" s="104" t="str">
        <f>IFERROR(_xlfn.XLOOKUP($A326,'Raw Data'!$G:$G,'Raw Data'!$AC:$AC),"")</f>
        <v/>
      </c>
      <c r="J326" s="104"/>
      <c r="K326" s="104" t="str">
        <f>IFERROR(_xlfn.XLOOKUP($A326,'Raw Data'!$G:$G,'Raw Data'!AD:AD),"")</f>
        <v/>
      </c>
      <c r="L326" s="104" t="str">
        <f>IFERROR(_xlfn.XLOOKUP($A326,'Raw Data'!$G:$G,'Raw Data'!AE:AE),"")</f>
        <v/>
      </c>
      <c r="M326" s="104" t="str">
        <f>IFERROR(_xlfn.XLOOKUP($A326,'Raw Data'!$G:$G,'Raw Data'!AF:AF),"")</f>
        <v/>
      </c>
      <c r="N326" s="104" t="str">
        <f>IFERROR(_xlfn.XLOOKUP($A326,'Raw Data'!$G:$G,'Raw Data'!AG:AG),"")</f>
        <v/>
      </c>
      <c r="O326" s="105" t="str">
        <f>IFERROR(1-SUMIF('Plant BD'!$B:$B,$A326,'Plant BD'!$AM:$AM)/($AA326+SUMIF('Plant BD'!$B:$B,$A326,'Plant BD'!$AM:$AM)),"")</f>
        <v/>
      </c>
      <c r="P326" s="105"/>
      <c r="Q326" s="106"/>
      <c r="R326" s="105" t="str">
        <f>IFERROR(1-SUMIF('Grid BD'!$B:$B,$A326,'Grid BD'!$AE:$AE)/($AA326+SUMIF('Grid BD'!$B:$B,$A326,'Grid BD'!$AE:$AE)),"")</f>
        <v/>
      </c>
      <c r="T326" s="106"/>
      <c r="U326" s="107" t="str">
        <f t="shared" si="21"/>
        <v/>
      </c>
      <c r="V326" s="107"/>
      <c r="W326" s="108" t="str">
        <f t="shared" si="22"/>
        <v/>
      </c>
      <c r="X326" s="101" t="str">
        <f>IFERROR(_xlfn.XLOOKUP($A326,'Raw Data'!$G:$G,'Raw Data'!AI:AI),"")</f>
        <v/>
      </c>
      <c r="Y326" s="101" t="str">
        <f>IFERROR(_xlfn.XLOOKUP($A326,'Raw Data'!$G:$G,'Raw Data'!AJ:AJ),"")</f>
        <v/>
      </c>
      <c r="Z326" s="101" t="str">
        <f>IFERROR(_xlfn.XLOOKUP($A326,'Raw Data'!$G:$G,'Raw Data'!AK:AK),"")</f>
        <v/>
      </c>
      <c r="AA326" s="101" t="str">
        <f>IFERROR(_xlfn.XLOOKUP($A326,'Raw Data'!$G:$G,'Raw Data'!$AL:$AL)*(1+(_xlfn.XLOOKUP(Table13[[#This Row],[Month Year]],JMR!$A:$A,JMR!$J:$J))),"")</f>
        <v/>
      </c>
      <c r="AB326" s="101" t="str">
        <f>IFERROR(_xlfn.XLOOKUP($A326,'Raw Data'!$G:$G,'Raw Data'!H:H),"")</f>
        <v/>
      </c>
      <c r="AC326" s="67">
        <f>IFERROR(_xlfn.XLOOKUP($D326,'Modelling New'!$D:$D,'Modelling New'!P:P),"")</f>
        <v>6.5714285714285712</v>
      </c>
      <c r="AD326" s="101">
        <f>IFERROR(_xlfn.XLOOKUP($D326,'Modelling New'!$D:$D,'Modelling New'!$T:$T)*1000,"")</f>
        <v>33989.340219935533</v>
      </c>
      <c r="AE326" s="109">
        <f>IFERROR(_xlfn.XLOOKUP($D326,'Modelling New'!$D:$D,'Modelling New'!O:O),"")</f>
        <v>0.64485168784471436</v>
      </c>
      <c r="AF326" s="108">
        <f>IFERROR(_xlfn.XLOOKUP($D326,'Modelling New'!$D:$D,'Modelling New'!W:W),"")</f>
        <v>0.17656653357652891</v>
      </c>
      <c r="AG326" s="108">
        <f>IFERROR(_xlfn.XLOOKUP($D326,'Modelling New'!$D:$D,'Modelling New'!AE:AE),"")</f>
        <v>0.98040000000000005</v>
      </c>
      <c r="AH326" s="128">
        <f>IFERROR(_xlfn.XLOOKUP($D326,'Modelling New'!$D:$D,'Modelling New'!AF:AF),"")</f>
        <v>0.98</v>
      </c>
      <c r="AN326" s="105"/>
      <c r="AO326" s="108"/>
      <c r="AP326" s="108"/>
      <c r="AQ326" s="108"/>
      <c r="AR326" s="101">
        <f>'Basic Data'!$B$98/1000</f>
        <v>8.0208999999999993</v>
      </c>
      <c r="AT326" s="7" t="str">
        <f>IFERROR(_xlfn.XLOOKUP(Table13[[#This Row],[Date]],'Raw Data'!$G:$G,'Raw Data'!$AN:$AN),"")</f>
        <v/>
      </c>
      <c r="AU326" s="7">
        <f>IFERROR(_xlfn.XLOOKUP(Table13[[#This Row],[Month Year]],'Modelling New'!$D:$D,'Modelling New'!$AO:$AO),"")</f>
        <v>8</v>
      </c>
      <c r="AV326" s="7">
        <f>SUMIF('Curtailment Records'!$C:$C,Table13[[#This Row],[Date]],'Curtailment Records'!$R:$R)/1000</f>
        <v>0</v>
      </c>
    </row>
    <row r="327" spans="1:48" x14ac:dyDescent="0.3">
      <c r="A327" s="100">
        <f t="shared" si="23"/>
        <v>46070</v>
      </c>
      <c r="B327" s="101">
        <f>YEAR(Table13[[#This Row],[Date]])+IF(MONTH(Table13[[#This Row],[Date]])&gt;=4,1,0)</f>
        <v>2026</v>
      </c>
      <c r="C327" s="7">
        <f>YEAR(Table13[[#This Row],[Date]])</f>
        <v>2026</v>
      </c>
      <c r="D327" s="102">
        <f>Table13[[#This Row],[Date]]-DAY(Table13[[#This Row],[Date]])+1</f>
        <v>46054</v>
      </c>
      <c r="E327" s="7">
        <f t="shared" si="20"/>
        <v>28</v>
      </c>
      <c r="F327" s="103" t="str">
        <f>IFERROR(_xlfn.XLOOKUP($A327,'Raw Data'!$G:$G,'Raw Data'!$AM:$AM),"")</f>
        <v/>
      </c>
      <c r="G327" s="104" t="str">
        <f>IFERROR(_xlfn.XLOOKUP($A327,'Raw Data'!$G:$G,'Raw Data'!$AB:$AB),"")</f>
        <v/>
      </c>
      <c r="H327" s="104"/>
      <c r="I327" s="104" t="str">
        <f>IFERROR(_xlfn.XLOOKUP($A327,'Raw Data'!$G:$G,'Raw Data'!$AC:$AC),"")</f>
        <v/>
      </c>
      <c r="J327" s="104"/>
      <c r="K327" s="104" t="str">
        <f>IFERROR(_xlfn.XLOOKUP($A327,'Raw Data'!$G:$G,'Raw Data'!AD:AD),"")</f>
        <v/>
      </c>
      <c r="L327" s="104" t="str">
        <f>IFERROR(_xlfn.XLOOKUP($A327,'Raw Data'!$G:$G,'Raw Data'!AE:AE),"")</f>
        <v/>
      </c>
      <c r="M327" s="104" t="str">
        <f>IFERROR(_xlfn.XLOOKUP($A327,'Raw Data'!$G:$G,'Raw Data'!AF:AF),"")</f>
        <v/>
      </c>
      <c r="N327" s="104" t="str">
        <f>IFERROR(_xlfn.XLOOKUP($A327,'Raw Data'!$G:$G,'Raw Data'!AG:AG),"")</f>
        <v/>
      </c>
      <c r="O327" s="105" t="str">
        <f>IFERROR(1-SUMIF('Plant BD'!$B:$B,$A327,'Plant BD'!$AM:$AM)/($AA327+SUMIF('Plant BD'!$B:$B,$A327,'Plant BD'!$AM:$AM)),"")</f>
        <v/>
      </c>
      <c r="P327" s="105"/>
      <c r="Q327" s="106"/>
      <c r="R327" s="105" t="str">
        <f>IFERROR(1-SUMIF('Grid BD'!$B:$B,$A327,'Grid BD'!$AE:$AE)/($AA327+SUMIF('Grid BD'!$B:$B,$A327,'Grid BD'!$AE:$AE)),"")</f>
        <v/>
      </c>
      <c r="T327" s="106"/>
      <c r="U327" s="107" t="str">
        <f t="shared" si="21"/>
        <v/>
      </c>
      <c r="V327" s="107"/>
      <c r="W327" s="108" t="str">
        <f t="shared" si="22"/>
        <v/>
      </c>
      <c r="X327" s="101" t="str">
        <f>IFERROR(_xlfn.XLOOKUP($A327,'Raw Data'!$G:$G,'Raw Data'!AI:AI),"")</f>
        <v/>
      </c>
      <c r="Y327" s="101" t="str">
        <f>IFERROR(_xlfn.XLOOKUP($A327,'Raw Data'!$G:$G,'Raw Data'!AJ:AJ),"")</f>
        <v/>
      </c>
      <c r="Z327" s="101" t="str">
        <f>IFERROR(_xlfn.XLOOKUP($A327,'Raw Data'!$G:$G,'Raw Data'!AK:AK),"")</f>
        <v/>
      </c>
      <c r="AA327" s="101" t="str">
        <f>IFERROR(_xlfn.XLOOKUP($A327,'Raw Data'!$G:$G,'Raw Data'!$AL:$AL)*(1+(_xlfn.XLOOKUP(Table13[[#This Row],[Month Year]],JMR!$A:$A,JMR!$J:$J))),"")</f>
        <v/>
      </c>
      <c r="AB327" s="101" t="str">
        <f>IFERROR(_xlfn.XLOOKUP($A327,'Raw Data'!$G:$G,'Raw Data'!H:H),"")</f>
        <v/>
      </c>
      <c r="AC327" s="67">
        <f>IFERROR(_xlfn.XLOOKUP($D327,'Modelling New'!$D:$D,'Modelling New'!P:P),"")</f>
        <v>6.5714285714285712</v>
      </c>
      <c r="AD327" s="101">
        <f>IFERROR(_xlfn.XLOOKUP($D327,'Modelling New'!$D:$D,'Modelling New'!$T:$T)*1000,"")</f>
        <v>33989.340219935533</v>
      </c>
      <c r="AE327" s="109">
        <f>IFERROR(_xlfn.XLOOKUP($D327,'Modelling New'!$D:$D,'Modelling New'!O:O),"")</f>
        <v>0.64485168784471436</v>
      </c>
      <c r="AF327" s="108">
        <f>IFERROR(_xlfn.XLOOKUP($D327,'Modelling New'!$D:$D,'Modelling New'!W:W),"")</f>
        <v>0.17656653357652891</v>
      </c>
      <c r="AG327" s="108">
        <f>IFERROR(_xlfn.XLOOKUP($D327,'Modelling New'!$D:$D,'Modelling New'!AE:AE),"")</f>
        <v>0.98040000000000005</v>
      </c>
      <c r="AH327" s="128">
        <f>IFERROR(_xlfn.XLOOKUP($D327,'Modelling New'!$D:$D,'Modelling New'!AF:AF),"")</f>
        <v>0.98</v>
      </c>
      <c r="AN327" s="105"/>
      <c r="AO327" s="108"/>
      <c r="AP327" s="108"/>
      <c r="AQ327" s="108"/>
      <c r="AR327" s="101">
        <f>'Basic Data'!$B$98/1000</f>
        <v>8.0208999999999993</v>
      </c>
      <c r="AT327" s="7" t="str">
        <f>IFERROR(_xlfn.XLOOKUP(Table13[[#This Row],[Date]],'Raw Data'!$G:$G,'Raw Data'!$AN:$AN),"")</f>
        <v/>
      </c>
      <c r="AU327" s="7">
        <f>IFERROR(_xlfn.XLOOKUP(Table13[[#This Row],[Month Year]],'Modelling New'!$D:$D,'Modelling New'!$AO:$AO),"")</f>
        <v>8</v>
      </c>
      <c r="AV327" s="7">
        <f>SUMIF('Curtailment Records'!$C:$C,Table13[[#This Row],[Date]],'Curtailment Records'!$R:$R)/1000</f>
        <v>0</v>
      </c>
    </row>
    <row r="328" spans="1:48" x14ac:dyDescent="0.3">
      <c r="A328" s="100">
        <f t="shared" si="23"/>
        <v>46071</v>
      </c>
      <c r="B328" s="101">
        <f>YEAR(Table13[[#This Row],[Date]])+IF(MONTH(Table13[[#This Row],[Date]])&gt;=4,1,0)</f>
        <v>2026</v>
      </c>
      <c r="C328" s="7">
        <f>YEAR(Table13[[#This Row],[Date]])</f>
        <v>2026</v>
      </c>
      <c r="D328" s="102">
        <f>Table13[[#This Row],[Date]]-DAY(Table13[[#This Row],[Date]])+1</f>
        <v>46054</v>
      </c>
      <c r="E328" s="7">
        <f t="shared" si="20"/>
        <v>28</v>
      </c>
      <c r="F328" s="103" t="str">
        <f>IFERROR(_xlfn.XLOOKUP($A328,'Raw Data'!$G:$G,'Raw Data'!$AM:$AM),"")</f>
        <v/>
      </c>
      <c r="G328" s="104" t="str">
        <f>IFERROR(_xlfn.XLOOKUP($A328,'Raw Data'!$G:$G,'Raw Data'!$AB:$AB),"")</f>
        <v/>
      </c>
      <c r="H328" s="104"/>
      <c r="I328" s="104" t="str">
        <f>IFERROR(_xlfn.XLOOKUP($A328,'Raw Data'!$G:$G,'Raw Data'!$AC:$AC),"")</f>
        <v/>
      </c>
      <c r="J328" s="104"/>
      <c r="K328" s="104" t="str">
        <f>IFERROR(_xlfn.XLOOKUP($A328,'Raw Data'!$G:$G,'Raw Data'!AD:AD),"")</f>
        <v/>
      </c>
      <c r="L328" s="104" t="str">
        <f>IFERROR(_xlfn.XLOOKUP($A328,'Raw Data'!$G:$G,'Raw Data'!AE:AE),"")</f>
        <v/>
      </c>
      <c r="M328" s="104" t="str">
        <f>IFERROR(_xlfn.XLOOKUP($A328,'Raw Data'!$G:$G,'Raw Data'!AF:AF),"")</f>
        <v/>
      </c>
      <c r="N328" s="104" t="str">
        <f>IFERROR(_xlfn.XLOOKUP($A328,'Raw Data'!$G:$G,'Raw Data'!AG:AG),"")</f>
        <v/>
      </c>
      <c r="O328" s="105" t="str">
        <f>IFERROR(1-SUMIF('Plant BD'!$B:$B,$A328,'Plant BD'!$AM:$AM)/($AA328+SUMIF('Plant BD'!$B:$B,$A328,'Plant BD'!$AM:$AM)),"")</f>
        <v/>
      </c>
      <c r="P328" s="105"/>
      <c r="Q328" s="106"/>
      <c r="R328" s="105" t="str">
        <f>IFERROR(1-SUMIF('Grid BD'!$B:$B,$A328,'Grid BD'!$AE:$AE)/($AA328+SUMIF('Grid BD'!$B:$B,$A328,'Grid BD'!$AE:$AE)),"")</f>
        <v/>
      </c>
      <c r="T328" s="106"/>
      <c r="U328" s="107" t="str">
        <f t="shared" si="21"/>
        <v/>
      </c>
      <c r="V328" s="107"/>
      <c r="W328" s="108" t="str">
        <f t="shared" si="22"/>
        <v/>
      </c>
      <c r="X328" s="101" t="str">
        <f>IFERROR(_xlfn.XLOOKUP($A328,'Raw Data'!$G:$G,'Raw Data'!AI:AI),"")</f>
        <v/>
      </c>
      <c r="Y328" s="101" t="str">
        <f>IFERROR(_xlfn.XLOOKUP($A328,'Raw Data'!$G:$G,'Raw Data'!AJ:AJ),"")</f>
        <v/>
      </c>
      <c r="Z328" s="101" t="str">
        <f>IFERROR(_xlfn.XLOOKUP($A328,'Raw Data'!$G:$G,'Raw Data'!AK:AK),"")</f>
        <v/>
      </c>
      <c r="AA328" s="101" t="str">
        <f>IFERROR(_xlfn.XLOOKUP($A328,'Raw Data'!$G:$G,'Raw Data'!$AL:$AL)*(1+(_xlfn.XLOOKUP(Table13[[#This Row],[Month Year]],JMR!$A:$A,JMR!$J:$J))),"")</f>
        <v/>
      </c>
      <c r="AB328" s="101" t="str">
        <f>IFERROR(_xlfn.XLOOKUP($A328,'Raw Data'!$G:$G,'Raw Data'!H:H),"")</f>
        <v/>
      </c>
      <c r="AC328" s="67">
        <f>IFERROR(_xlfn.XLOOKUP($D328,'Modelling New'!$D:$D,'Modelling New'!P:P),"")</f>
        <v>6.5714285714285712</v>
      </c>
      <c r="AD328" s="101">
        <f>IFERROR(_xlfn.XLOOKUP($D328,'Modelling New'!$D:$D,'Modelling New'!$T:$T)*1000,"")</f>
        <v>33989.340219935533</v>
      </c>
      <c r="AE328" s="109">
        <f>IFERROR(_xlfn.XLOOKUP($D328,'Modelling New'!$D:$D,'Modelling New'!O:O),"")</f>
        <v>0.64485168784471436</v>
      </c>
      <c r="AF328" s="108">
        <f>IFERROR(_xlfn.XLOOKUP($D328,'Modelling New'!$D:$D,'Modelling New'!W:W),"")</f>
        <v>0.17656653357652891</v>
      </c>
      <c r="AG328" s="108">
        <f>IFERROR(_xlfn.XLOOKUP($D328,'Modelling New'!$D:$D,'Modelling New'!AE:AE),"")</f>
        <v>0.98040000000000005</v>
      </c>
      <c r="AH328" s="128">
        <f>IFERROR(_xlfn.XLOOKUP($D328,'Modelling New'!$D:$D,'Modelling New'!AF:AF),"")</f>
        <v>0.98</v>
      </c>
      <c r="AN328" s="105"/>
      <c r="AO328" s="108"/>
      <c r="AP328" s="108"/>
      <c r="AQ328" s="108"/>
      <c r="AR328" s="101">
        <f>'Basic Data'!$B$98/1000</f>
        <v>8.0208999999999993</v>
      </c>
      <c r="AT328" s="7" t="str">
        <f>IFERROR(_xlfn.XLOOKUP(Table13[[#This Row],[Date]],'Raw Data'!$G:$G,'Raw Data'!$AN:$AN),"")</f>
        <v/>
      </c>
      <c r="AU328" s="7">
        <f>IFERROR(_xlfn.XLOOKUP(Table13[[#This Row],[Month Year]],'Modelling New'!$D:$D,'Modelling New'!$AO:$AO),"")</f>
        <v>8</v>
      </c>
      <c r="AV328" s="7">
        <f>SUMIF('Curtailment Records'!$C:$C,Table13[[#This Row],[Date]],'Curtailment Records'!$R:$R)/1000</f>
        <v>0</v>
      </c>
    </row>
    <row r="329" spans="1:48" x14ac:dyDescent="0.3">
      <c r="A329" s="100">
        <f t="shared" si="23"/>
        <v>46072</v>
      </c>
      <c r="B329" s="101">
        <f>YEAR(Table13[[#This Row],[Date]])+IF(MONTH(Table13[[#This Row],[Date]])&gt;=4,1,0)</f>
        <v>2026</v>
      </c>
      <c r="C329" s="7">
        <f>YEAR(Table13[[#This Row],[Date]])</f>
        <v>2026</v>
      </c>
      <c r="D329" s="102">
        <f>Table13[[#This Row],[Date]]-DAY(Table13[[#This Row],[Date]])+1</f>
        <v>46054</v>
      </c>
      <c r="E329" s="7">
        <f t="shared" si="20"/>
        <v>28</v>
      </c>
      <c r="F329" s="103" t="str">
        <f>IFERROR(_xlfn.XLOOKUP($A329,'Raw Data'!$G:$G,'Raw Data'!$AM:$AM),"")</f>
        <v/>
      </c>
      <c r="G329" s="104" t="str">
        <f>IFERROR(_xlfn.XLOOKUP($A329,'Raw Data'!$G:$G,'Raw Data'!$AB:$AB),"")</f>
        <v/>
      </c>
      <c r="H329" s="104"/>
      <c r="I329" s="104" t="str">
        <f>IFERROR(_xlfn.XLOOKUP($A329,'Raw Data'!$G:$G,'Raw Data'!$AC:$AC),"")</f>
        <v/>
      </c>
      <c r="J329" s="104"/>
      <c r="K329" s="104" t="str">
        <f>IFERROR(_xlfn.XLOOKUP($A329,'Raw Data'!$G:$G,'Raw Data'!AD:AD),"")</f>
        <v/>
      </c>
      <c r="L329" s="104" t="str">
        <f>IFERROR(_xlfn.XLOOKUP($A329,'Raw Data'!$G:$G,'Raw Data'!AE:AE),"")</f>
        <v/>
      </c>
      <c r="M329" s="104" t="str">
        <f>IFERROR(_xlfn.XLOOKUP($A329,'Raw Data'!$G:$G,'Raw Data'!AF:AF),"")</f>
        <v/>
      </c>
      <c r="N329" s="104" t="str">
        <f>IFERROR(_xlfn.XLOOKUP($A329,'Raw Data'!$G:$G,'Raw Data'!AG:AG),"")</f>
        <v/>
      </c>
      <c r="O329" s="105" t="str">
        <f>IFERROR(1-SUMIF('Plant BD'!$B:$B,$A329,'Plant BD'!$AM:$AM)/($AA329+SUMIF('Plant BD'!$B:$B,$A329,'Plant BD'!$AM:$AM)),"")</f>
        <v/>
      </c>
      <c r="P329" s="105"/>
      <c r="Q329" s="106"/>
      <c r="R329" s="105" t="str">
        <f>IFERROR(1-SUMIF('Grid BD'!$B:$B,$A329,'Grid BD'!$AE:$AE)/($AA329+SUMIF('Grid BD'!$B:$B,$A329,'Grid BD'!$AE:$AE)),"")</f>
        <v/>
      </c>
      <c r="T329" s="106"/>
      <c r="U329" s="107" t="str">
        <f t="shared" si="21"/>
        <v/>
      </c>
      <c r="V329" s="107"/>
      <c r="W329" s="108" t="str">
        <f t="shared" si="22"/>
        <v/>
      </c>
      <c r="X329" s="101" t="str">
        <f>IFERROR(_xlfn.XLOOKUP($A329,'Raw Data'!$G:$G,'Raw Data'!AI:AI),"")</f>
        <v/>
      </c>
      <c r="Y329" s="101" t="str">
        <f>IFERROR(_xlfn.XLOOKUP($A329,'Raw Data'!$G:$G,'Raw Data'!AJ:AJ),"")</f>
        <v/>
      </c>
      <c r="Z329" s="101" t="str">
        <f>IFERROR(_xlfn.XLOOKUP($A329,'Raw Data'!$G:$G,'Raw Data'!AK:AK),"")</f>
        <v/>
      </c>
      <c r="AA329" s="101" t="str">
        <f>IFERROR(_xlfn.XLOOKUP($A329,'Raw Data'!$G:$G,'Raw Data'!$AL:$AL)*(1+(_xlfn.XLOOKUP(Table13[[#This Row],[Month Year]],JMR!$A:$A,JMR!$J:$J))),"")</f>
        <v/>
      </c>
      <c r="AB329" s="101" t="str">
        <f>IFERROR(_xlfn.XLOOKUP($A329,'Raw Data'!$G:$G,'Raw Data'!H:H),"")</f>
        <v/>
      </c>
      <c r="AC329" s="67">
        <f>IFERROR(_xlfn.XLOOKUP($D329,'Modelling New'!$D:$D,'Modelling New'!P:P),"")</f>
        <v>6.5714285714285712</v>
      </c>
      <c r="AD329" s="101">
        <f>IFERROR(_xlfn.XLOOKUP($D329,'Modelling New'!$D:$D,'Modelling New'!$T:$T)*1000,"")</f>
        <v>33989.340219935533</v>
      </c>
      <c r="AE329" s="109">
        <f>IFERROR(_xlfn.XLOOKUP($D329,'Modelling New'!$D:$D,'Modelling New'!O:O),"")</f>
        <v>0.64485168784471436</v>
      </c>
      <c r="AF329" s="108">
        <f>IFERROR(_xlfn.XLOOKUP($D329,'Modelling New'!$D:$D,'Modelling New'!W:W),"")</f>
        <v>0.17656653357652891</v>
      </c>
      <c r="AG329" s="108">
        <f>IFERROR(_xlfn.XLOOKUP($D329,'Modelling New'!$D:$D,'Modelling New'!AE:AE),"")</f>
        <v>0.98040000000000005</v>
      </c>
      <c r="AH329" s="128">
        <f>IFERROR(_xlfn.XLOOKUP($D329,'Modelling New'!$D:$D,'Modelling New'!AF:AF),"")</f>
        <v>0.98</v>
      </c>
      <c r="AN329" s="105"/>
      <c r="AO329" s="108"/>
      <c r="AP329" s="108"/>
      <c r="AQ329" s="108"/>
      <c r="AR329" s="101">
        <f>'Basic Data'!$B$98/1000</f>
        <v>8.0208999999999993</v>
      </c>
      <c r="AT329" s="7" t="str">
        <f>IFERROR(_xlfn.XLOOKUP(Table13[[#This Row],[Date]],'Raw Data'!$G:$G,'Raw Data'!$AN:$AN),"")</f>
        <v/>
      </c>
      <c r="AU329" s="7">
        <f>IFERROR(_xlfn.XLOOKUP(Table13[[#This Row],[Month Year]],'Modelling New'!$D:$D,'Modelling New'!$AO:$AO),"")</f>
        <v>8</v>
      </c>
      <c r="AV329" s="7">
        <f>SUMIF('Curtailment Records'!$C:$C,Table13[[#This Row],[Date]],'Curtailment Records'!$R:$R)/1000</f>
        <v>0</v>
      </c>
    </row>
    <row r="330" spans="1:48" x14ac:dyDescent="0.3">
      <c r="A330" s="100">
        <f t="shared" si="23"/>
        <v>46073</v>
      </c>
      <c r="B330" s="101">
        <f>YEAR(Table13[[#This Row],[Date]])+IF(MONTH(Table13[[#This Row],[Date]])&gt;=4,1,0)</f>
        <v>2026</v>
      </c>
      <c r="C330" s="7">
        <f>YEAR(Table13[[#This Row],[Date]])</f>
        <v>2026</v>
      </c>
      <c r="D330" s="102">
        <f>Table13[[#This Row],[Date]]-DAY(Table13[[#This Row],[Date]])+1</f>
        <v>46054</v>
      </c>
      <c r="E330" s="7">
        <f t="shared" si="20"/>
        <v>28</v>
      </c>
      <c r="F330" s="103" t="str">
        <f>IFERROR(_xlfn.XLOOKUP($A330,'Raw Data'!$G:$G,'Raw Data'!$AM:$AM),"")</f>
        <v/>
      </c>
      <c r="G330" s="104" t="str">
        <f>IFERROR(_xlfn.XLOOKUP($A330,'Raw Data'!$G:$G,'Raw Data'!$AB:$AB),"")</f>
        <v/>
      </c>
      <c r="H330" s="104"/>
      <c r="I330" s="104" t="str">
        <f>IFERROR(_xlfn.XLOOKUP($A330,'Raw Data'!$G:$G,'Raw Data'!$AC:$AC),"")</f>
        <v/>
      </c>
      <c r="J330" s="104"/>
      <c r="K330" s="104" t="str">
        <f>IFERROR(_xlfn.XLOOKUP($A330,'Raw Data'!$G:$G,'Raw Data'!AD:AD),"")</f>
        <v/>
      </c>
      <c r="L330" s="104" t="str">
        <f>IFERROR(_xlfn.XLOOKUP($A330,'Raw Data'!$G:$G,'Raw Data'!AE:AE),"")</f>
        <v/>
      </c>
      <c r="M330" s="104" t="str">
        <f>IFERROR(_xlfn.XLOOKUP($A330,'Raw Data'!$G:$G,'Raw Data'!AF:AF),"")</f>
        <v/>
      </c>
      <c r="N330" s="104" t="str">
        <f>IFERROR(_xlfn.XLOOKUP($A330,'Raw Data'!$G:$G,'Raw Data'!AG:AG),"")</f>
        <v/>
      </c>
      <c r="O330" s="105" t="str">
        <f>IFERROR(1-SUMIF('Plant BD'!$B:$B,$A330,'Plant BD'!$AM:$AM)/($AA330+SUMIF('Plant BD'!$B:$B,$A330,'Plant BD'!$AM:$AM)),"")</f>
        <v/>
      </c>
      <c r="P330" s="105"/>
      <c r="Q330" s="106"/>
      <c r="R330" s="105" t="str">
        <f>IFERROR(1-SUMIF('Grid BD'!$B:$B,$A330,'Grid BD'!$AE:$AE)/($AA330+SUMIF('Grid BD'!$B:$B,$A330,'Grid BD'!$AE:$AE)),"")</f>
        <v/>
      </c>
      <c r="T330" s="106"/>
      <c r="U330" s="107" t="str">
        <f t="shared" si="21"/>
        <v/>
      </c>
      <c r="V330" s="107"/>
      <c r="W330" s="108" t="str">
        <f t="shared" si="22"/>
        <v/>
      </c>
      <c r="X330" s="101" t="str">
        <f>IFERROR(_xlfn.XLOOKUP($A330,'Raw Data'!$G:$G,'Raw Data'!AI:AI),"")</f>
        <v/>
      </c>
      <c r="Y330" s="101" t="str">
        <f>IFERROR(_xlfn.XLOOKUP($A330,'Raw Data'!$G:$G,'Raw Data'!AJ:AJ),"")</f>
        <v/>
      </c>
      <c r="Z330" s="101" t="str">
        <f>IFERROR(_xlfn.XLOOKUP($A330,'Raw Data'!$G:$G,'Raw Data'!AK:AK),"")</f>
        <v/>
      </c>
      <c r="AA330" s="101" t="str">
        <f>IFERROR(_xlfn.XLOOKUP($A330,'Raw Data'!$G:$G,'Raw Data'!$AL:$AL)*(1+(_xlfn.XLOOKUP(Table13[[#This Row],[Month Year]],JMR!$A:$A,JMR!$J:$J))),"")</f>
        <v/>
      </c>
      <c r="AB330" s="101" t="str">
        <f>IFERROR(_xlfn.XLOOKUP($A330,'Raw Data'!$G:$G,'Raw Data'!H:H),"")</f>
        <v/>
      </c>
      <c r="AC330" s="67">
        <f>IFERROR(_xlfn.XLOOKUP($D330,'Modelling New'!$D:$D,'Modelling New'!P:P),"")</f>
        <v>6.5714285714285712</v>
      </c>
      <c r="AD330" s="101">
        <f>IFERROR(_xlfn.XLOOKUP($D330,'Modelling New'!$D:$D,'Modelling New'!$T:$T)*1000,"")</f>
        <v>33989.340219935533</v>
      </c>
      <c r="AE330" s="109">
        <f>IFERROR(_xlfn.XLOOKUP($D330,'Modelling New'!$D:$D,'Modelling New'!O:O),"")</f>
        <v>0.64485168784471436</v>
      </c>
      <c r="AF330" s="108">
        <f>IFERROR(_xlfn.XLOOKUP($D330,'Modelling New'!$D:$D,'Modelling New'!W:W),"")</f>
        <v>0.17656653357652891</v>
      </c>
      <c r="AG330" s="108">
        <f>IFERROR(_xlfn.XLOOKUP($D330,'Modelling New'!$D:$D,'Modelling New'!AE:AE),"")</f>
        <v>0.98040000000000005</v>
      </c>
      <c r="AH330" s="128">
        <f>IFERROR(_xlfn.XLOOKUP($D330,'Modelling New'!$D:$D,'Modelling New'!AF:AF),"")</f>
        <v>0.98</v>
      </c>
      <c r="AN330" s="105"/>
      <c r="AO330" s="108"/>
      <c r="AP330" s="108"/>
      <c r="AQ330" s="108"/>
      <c r="AR330" s="101">
        <f>'Basic Data'!$B$98/1000</f>
        <v>8.0208999999999993</v>
      </c>
      <c r="AT330" s="7" t="str">
        <f>IFERROR(_xlfn.XLOOKUP(Table13[[#This Row],[Date]],'Raw Data'!$G:$G,'Raw Data'!$AN:$AN),"")</f>
        <v/>
      </c>
      <c r="AU330" s="7">
        <f>IFERROR(_xlfn.XLOOKUP(Table13[[#This Row],[Month Year]],'Modelling New'!$D:$D,'Modelling New'!$AO:$AO),"")</f>
        <v>8</v>
      </c>
      <c r="AV330" s="7">
        <f>SUMIF('Curtailment Records'!$C:$C,Table13[[#This Row],[Date]],'Curtailment Records'!$R:$R)/1000</f>
        <v>0</v>
      </c>
    </row>
    <row r="331" spans="1:48" x14ac:dyDescent="0.3">
      <c r="A331" s="100">
        <f t="shared" si="23"/>
        <v>46074</v>
      </c>
      <c r="B331" s="101">
        <f>YEAR(Table13[[#This Row],[Date]])+IF(MONTH(Table13[[#This Row],[Date]])&gt;=4,1,0)</f>
        <v>2026</v>
      </c>
      <c r="C331" s="7">
        <f>YEAR(Table13[[#This Row],[Date]])</f>
        <v>2026</v>
      </c>
      <c r="D331" s="102">
        <f>Table13[[#This Row],[Date]]-DAY(Table13[[#This Row],[Date]])+1</f>
        <v>46054</v>
      </c>
      <c r="E331" s="7">
        <f t="shared" si="20"/>
        <v>28</v>
      </c>
      <c r="F331" s="103" t="str">
        <f>IFERROR(_xlfn.XLOOKUP($A331,'Raw Data'!$G:$G,'Raw Data'!$AM:$AM),"")</f>
        <v/>
      </c>
      <c r="G331" s="104" t="str">
        <f>IFERROR(_xlfn.XLOOKUP($A331,'Raw Data'!$G:$G,'Raw Data'!$AB:$AB),"")</f>
        <v/>
      </c>
      <c r="H331" s="104"/>
      <c r="I331" s="104" t="str">
        <f>IFERROR(_xlfn.XLOOKUP($A331,'Raw Data'!$G:$G,'Raw Data'!$AC:$AC),"")</f>
        <v/>
      </c>
      <c r="J331" s="104"/>
      <c r="K331" s="104" t="str">
        <f>IFERROR(_xlfn.XLOOKUP($A331,'Raw Data'!$G:$G,'Raw Data'!AD:AD),"")</f>
        <v/>
      </c>
      <c r="L331" s="104" t="str">
        <f>IFERROR(_xlfn.XLOOKUP($A331,'Raw Data'!$G:$G,'Raw Data'!AE:AE),"")</f>
        <v/>
      </c>
      <c r="M331" s="104" t="str">
        <f>IFERROR(_xlfn.XLOOKUP($A331,'Raw Data'!$G:$G,'Raw Data'!AF:AF),"")</f>
        <v/>
      </c>
      <c r="N331" s="104" t="str">
        <f>IFERROR(_xlfn.XLOOKUP($A331,'Raw Data'!$G:$G,'Raw Data'!AG:AG),"")</f>
        <v/>
      </c>
      <c r="O331" s="105" t="str">
        <f>IFERROR(1-SUMIF('Plant BD'!$B:$B,$A331,'Plant BD'!$AM:$AM)/($AA331+SUMIF('Plant BD'!$B:$B,$A331,'Plant BD'!$AM:$AM)),"")</f>
        <v/>
      </c>
      <c r="P331" s="105"/>
      <c r="Q331" s="106"/>
      <c r="R331" s="105" t="str">
        <f>IFERROR(1-SUMIF('Grid BD'!$B:$B,$A331,'Grid BD'!$AE:$AE)/($AA331+SUMIF('Grid BD'!$B:$B,$A331,'Grid BD'!$AE:$AE)),"")</f>
        <v/>
      </c>
      <c r="T331" s="106"/>
      <c r="U331" s="107" t="str">
        <f t="shared" si="21"/>
        <v/>
      </c>
      <c r="V331" s="107"/>
      <c r="W331" s="108" t="str">
        <f t="shared" si="22"/>
        <v/>
      </c>
      <c r="X331" s="101" t="str">
        <f>IFERROR(_xlfn.XLOOKUP($A331,'Raw Data'!$G:$G,'Raw Data'!AI:AI),"")</f>
        <v/>
      </c>
      <c r="Y331" s="101" t="str">
        <f>IFERROR(_xlfn.XLOOKUP($A331,'Raw Data'!$G:$G,'Raw Data'!AJ:AJ),"")</f>
        <v/>
      </c>
      <c r="Z331" s="101" t="str">
        <f>IFERROR(_xlfn.XLOOKUP($A331,'Raw Data'!$G:$G,'Raw Data'!AK:AK),"")</f>
        <v/>
      </c>
      <c r="AA331" s="101" t="str">
        <f>IFERROR(_xlfn.XLOOKUP($A331,'Raw Data'!$G:$G,'Raw Data'!$AL:$AL)*(1+(_xlfn.XLOOKUP(Table13[[#This Row],[Month Year]],JMR!$A:$A,JMR!$J:$J))),"")</f>
        <v/>
      </c>
      <c r="AB331" s="101" t="str">
        <f>IFERROR(_xlfn.XLOOKUP($A331,'Raw Data'!$G:$G,'Raw Data'!H:H),"")</f>
        <v/>
      </c>
      <c r="AC331" s="67">
        <f>IFERROR(_xlfn.XLOOKUP($D331,'Modelling New'!$D:$D,'Modelling New'!P:P),"")</f>
        <v>6.5714285714285712</v>
      </c>
      <c r="AD331" s="101">
        <f>IFERROR(_xlfn.XLOOKUP($D331,'Modelling New'!$D:$D,'Modelling New'!$T:$T)*1000,"")</f>
        <v>33989.340219935533</v>
      </c>
      <c r="AE331" s="109">
        <f>IFERROR(_xlfn.XLOOKUP($D331,'Modelling New'!$D:$D,'Modelling New'!O:O),"")</f>
        <v>0.64485168784471436</v>
      </c>
      <c r="AF331" s="108">
        <f>IFERROR(_xlfn.XLOOKUP($D331,'Modelling New'!$D:$D,'Modelling New'!W:W),"")</f>
        <v>0.17656653357652891</v>
      </c>
      <c r="AG331" s="108">
        <f>IFERROR(_xlfn.XLOOKUP($D331,'Modelling New'!$D:$D,'Modelling New'!AE:AE),"")</f>
        <v>0.98040000000000005</v>
      </c>
      <c r="AH331" s="128">
        <f>IFERROR(_xlfn.XLOOKUP($D331,'Modelling New'!$D:$D,'Modelling New'!AF:AF),"")</f>
        <v>0.98</v>
      </c>
      <c r="AN331" s="105"/>
      <c r="AO331" s="108"/>
      <c r="AP331" s="108"/>
      <c r="AQ331" s="108"/>
      <c r="AR331" s="101">
        <f>'Basic Data'!$B$98/1000</f>
        <v>8.0208999999999993</v>
      </c>
      <c r="AT331" s="7" t="str">
        <f>IFERROR(_xlfn.XLOOKUP(Table13[[#This Row],[Date]],'Raw Data'!$G:$G,'Raw Data'!$AN:$AN),"")</f>
        <v/>
      </c>
      <c r="AU331" s="7">
        <f>IFERROR(_xlfn.XLOOKUP(Table13[[#This Row],[Month Year]],'Modelling New'!$D:$D,'Modelling New'!$AO:$AO),"")</f>
        <v>8</v>
      </c>
      <c r="AV331" s="7">
        <f>SUMIF('Curtailment Records'!$C:$C,Table13[[#This Row],[Date]],'Curtailment Records'!$R:$R)/1000</f>
        <v>0</v>
      </c>
    </row>
    <row r="332" spans="1:48" x14ac:dyDescent="0.3">
      <c r="A332" s="100">
        <f t="shared" si="23"/>
        <v>46075</v>
      </c>
      <c r="B332" s="101">
        <f>YEAR(Table13[[#This Row],[Date]])+IF(MONTH(Table13[[#This Row],[Date]])&gt;=4,1,0)</f>
        <v>2026</v>
      </c>
      <c r="C332" s="7">
        <f>YEAR(Table13[[#This Row],[Date]])</f>
        <v>2026</v>
      </c>
      <c r="D332" s="102">
        <f>Table13[[#This Row],[Date]]-DAY(Table13[[#This Row],[Date]])+1</f>
        <v>46054</v>
      </c>
      <c r="E332" s="7">
        <f t="shared" si="20"/>
        <v>28</v>
      </c>
      <c r="F332" s="103" t="str">
        <f>IFERROR(_xlfn.XLOOKUP($A332,'Raw Data'!$G:$G,'Raw Data'!$AM:$AM),"")</f>
        <v/>
      </c>
      <c r="G332" s="104" t="str">
        <f>IFERROR(_xlfn.XLOOKUP($A332,'Raw Data'!$G:$G,'Raw Data'!$AB:$AB),"")</f>
        <v/>
      </c>
      <c r="H332" s="104"/>
      <c r="I332" s="104" t="str">
        <f>IFERROR(_xlfn.XLOOKUP($A332,'Raw Data'!$G:$G,'Raw Data'!$AC:$AC),"")</f>
        <v/>
      </c>
      <c r="J332" s="104"/>
      <c r="K332" s="104" t="str">
        <f>IFERROR(_xlfn.XLOOKUP($A332,'Raw Data'!$G:$G,'Raw Data'!AD:AD),"")</f>
        <v/>
      </c>
      <c r="L332" s="104" t="str">
        <f>IFERROR(_xlfn.XLOOKUP($A332,'Raw Data'!$G:$G,'Raw Data'!AE:AE),"")</f>
        <v/>
      </c>
      <c r="M332" s="104" t="str">
        <f>IFERROR(_xlfn.XLOOKUP($A332,'Raw Data'!$G:$G,'Raw Data'!AF:AF),"")</f>
        <v/>
      </c>
      <c r="N332" s="104" t="str">
        <f>IFERROR(_xlfn.XLOOKUP($A332,'Raw Data'!$G:$G,'Raw Data'!AG:AG),"")</f>
        <v/>
      </c>
      <c r="O332" s="105" t="str">
        <f>IFERROR(1-SUMIF('Plant BD'!$B:$B,$A332,'Plant BD'!$AM:$AM)/($AA332+SUMIF('Plant BD'!$B:$B,$A332,'Plant BD'!$AM:$AM)),"")</f>
        <v/>
      </c>
      <c r="P332" s="105"/>
      <c r="Q332" s="106"/>
      <c r="R332" s="105" t="str">
        <f>IFERROR(1-SUMIF('Grid BD'!$B:$B,$A332,'Grid BD'!$AE:$AE)/($AA332+SUMIF('Grid BD'!$B:$B,$A332,'Grid BD'!$AE:$AE)),"")</f>
        <v/>
      </c>
      <c r="T332" s="106"/>
      <c r="U332" s="107" t="str">
        <f t="shared" si="21"/>
        <v/>
      </c>
      <c r="V332" s="107"/>
      <c r="W332" s="108" t="str">
        <f t="shared" si="22"/>
        <v/>
      </c>
      <c r="X332" s="101" t="str">
        <f>IFERROR(_xlfn.XLOOKUP($A332,'Raw Data'!$G:$G,'Raw Data'!AI:AI),"")</f>
        <v/>
      </c>
      <c r="Y332" s="101" t="str">
        <f>IFERROR(_xlfn.XLOOKUP($A332,'Raw Data'!$G:$G,'Raw Data'!AJ:AJ),"")</f>
        <v/>
      </c>
      <c r="Z332" s="101" t="str">
        <f>IFERROR(_xlfn.XLOOKUP($A332,'Raw Data'!$G:$G,'Raw Data'!AK:AK),"")</f>
        <v/>
      </c>
      <c r="AA332" s="101" t="str">
        <f>IFERROR(_xlfn.XLOOKUP($A332,'Raw Data'!$G:$G,'Raw Data'!$AL:$AL)*(1+(_xlfn.XLOOKUP(Table13[[#This Row],[Month Year]],JMR!$A:$A,JMR!$J:$J))),"")</f>
        <v/>
      </c>
      <c r="AB332" s="101" t="str">
        <f>IFERROR(_xlfn.XLOOKUP($A332,'Raw Data'!$G:$G,'Raw Data'!H:H),"")</f>
        <v/>
      </c>
      <c r="AC332" s="67">
        <f>IFERROR(_xlfn.XLOOKUP($D332,'Modelling New'!$D:$D,'Modelling New'!P:P),"")</f>
        <v>6.5714285714285712</v>
      </c>
      <c r="AD332" s="101">
        <f>IFERROR(_xlfn.XLOOKUP($D332,'Modelling New'!$D:$D,'Modelling New'!$T:$T)*1000,"")</f>
        <v>33989.340219935533</v>
      </c>
      <c r="AE332" s="109">
        <f>IFERROR(_xlfn.XLOOKUP($D332,'Modelling New'!$D:$D,'Modelling New'!O:O),"")</f>
        <v>0.64485168784471436</v>
      </c>
      <c r="AF332" s="108">
        <f>IFERROR(_xlfn.XLOOKUP($D332,'Modelling New'!$D:$D,'Modelling New'!W:W),"")</f>
        <v>0.17656653357652891</v>
      </c>
      <c r="AG332" s="108">
        <f>IFERROR(_xlfn.XLOOKUP($D332,'Modelling New'!$D:$D,'Modelling New'!AE:AE),"")</f>
        <v>0.98040000000000005</v>
      </c>
      <c r="AH332" s="128">
        <f>IFERROR(_xlfn.XLOOKUP($D332,'Modelling New'!$D:$D,'Modelling New'!AF:AF),"")</f>
        <v>0.98</v>
      </c>
      <c r="AN332" s="105"/>
      <c r="AO332" s="108"/>
      <c r="AP332" s="108"/>
      <c r="AQ332" s="108"/>
      <c r="AR332" s="101">
        <f>'Basic Data'!$B$98/1000</f>
        <v>8.0208999999999993</v>
      </c>
      <c r="AT332" s="7" t="str">
        <f>IFERROR(_xlfn.XLOOKUP(Table13[[#This Row],[Date]],'Raw Data'!$G:$G,'Raw Data'!$AN:$AN),"")</f>
        <v/>
      </c>
      <c r="AU332" s="7">
        <f>IFERROR(_xlfn.XLOOKUP(Table13[[#This Row],[Month Year]],'Modelling New'!$D:$D,'Modelling New'!$AO:$AO),"")</f>
        <v>8</v>
      </c>
      <c r="AV332" s="7">
        <f>SUMIF('Curtailment Records'!$C:$C,Table13[[#This Row],[Date]],'Curtailment Records'!$R:$R)/1000</f>
        <v>0</v>
      </c>
    </row>
    <row r="333" spans="1:48" x14ac:dyDescent="0.3">
      <c r="A333" s="100">
        <f t="shared" si="23"/>
        <v>46076</v>
      </c>
      <c r="B333" s="101">
        <f>YEAR(Table13[[#This Row],[Date]])+IF(MONTH(Table13[[#This Row],[Date]])&gt;=4,1,0)</f>
        <v>2026</v>
      </c>
      <c r="C333" s="7">
        <f>YEAR(Table13[[#This Row],[Date]])</f>
        <v>2026</v>
      </c>
      <c r="D333" s="102">
        <f>Table13[[#This Row],[Date]]-DAY(Table13[[#This Row],[Date]])+1</f>
        <v>46054</v>
      </c>
      <c r="E333" s="7">
        <f t="shared" si="20"/>
        <v>28</v>
      </c>
      <c r="F333" s="103" t="str">
        <f>IFERROR(_xlfn.XLOOKUP($A333,'Raw Data'!$G:$G,'Raw Data'!$AM:$AM),"")</f>
        <v/>
      </c>
      <c r="G333" s="104" t="str">
        <f>IFERROR(_xlfn.XLOOKUP($A333,'Raw Data'!$G:$G,'Raw Data'!$AB:$AB),"")</f>
        <v/>
      </c>
      <c r="H333" s="104"/>
      <c r="I333" s="104" t="str">
        <f>IFERROR(_xlfn.XLOOKUP($A333,'Raw Data'!$G:$G,'Raw Data'!$AC:$AC),"")</f>
        <v/>
      </c>
      <c r="J333" s="104"/>
      <c r="K333" s="104" t="str">
        <f>IFERROR(_xlfn.XLOOKUP($A333,'Raw Data'!$G:$G,'Raw Data'!AD:AD),"")</f>
        <v/>
      </c>
      <c r="L333" s="104" t="str">
        <f>IFERROR(_xlfn.XLOOKUP($A333,'Raw Data'!$G:$G,'Raw Data'!AE:AE),"")</f>
        <v/>
      </c>
      <c r="M333" s="104" t="str">
        <f>IFERROR(_xlfn.XLOOKUP($A333,'Raw Data'!$G:$G,'Raw Data'!AF:AF),"")</f>
        <v/>
      </c>
      <c r="N333" s="104" t="str">
        <f>IFERROR(_xlfn.XLOOKUP($A333,'Raw Data'!$G:$G,'Raw Data'!AG:AG),"")</f>
        <v/>
      </c>
      <c r="O333" s="105" t="str">
        <f>IFERROR(1-SUMIF('Plant BD'!$B:$B,$A333,'Plant BD'!$AM:$AM)/($AA333+SUMIF('Plant BD'!$B:$B,$A333,'Plant BD'!$AM:$AM)),"")</f>
        <v/>
      </c>
      <c r="P333" s="105"/>
      <c r="Q333" s="106"/>
      <c r="R333" s="105" t="str">
        <f>IFERROR(1-SUMIF('Grid BD'!$B:$B,$A333,'Grid BD'!$AE:$AE)/($AA333+SUMIF('Grid BD'!$B:$B,$A333,'Grid BD'!$AE:$AE)),"")</f>
        <v/>
      </c>
      <c r="T333" s="106"/>
      <c r="U333" s="107" t="str">
        <f t="shared" si="21"/>
        <v/>
      </c>
      <c r="V333" s="107"/>
      <c r="W333" s="108" t="str">
        <f t="shared" si="22"/>
        <v/>
      </c>
      <c r="X333" s="101" t="str">
        <f>IFERROR(_xlfn.XLOOKUP($A333,'Raw Data'!$G:$G,'Raw Data'!AI:AI),"")</f>
        <v/>
      </c>
      <c r="Y333" s="101" t="str">
        <f>IFERROR(_xlfn.XLOOKUP($A333,'Raw Data'!$G:$G,'Raw Data'!AJ:AJ),"")</f>
        <v/>
      </c>
      <c r="Z333" s="101" t="str">
        <f>IFERROR(_xlfn.XLOOKUP($A333,'Raw Data'!$G:$G,'Raw Data'!AK:AK),"")</f>
        <v/>
      </c>
      <c r="AA333" s="101" t="str">
        <f>IFERROR(_xlfn.XLOOKUP($A333,'Raw Data'!$G:$G,'Raw Data'!$AL:$AL)*(1+(_xlfn.XLOOKUP(Table13[[#This Row],[Month Year]],JMR!$A:$A,JMR!$J:$J))),"")</f>
        <v/>
      </c>
      <c r="AB333" s="101" t="str">
        <f>IFERROR(_xlfn.XLOOKUP($A333,'Raw Data'!$G:$G,'Raw Data'!H:H),"")</f>
        <v/>
      </c>
      <c r="AC333" s="67">
        <f>IFERROR(_xlfn.XLOOKUP($D333,'Modelling New'!$D:$D,'Modelling New'!P:P),"")</f>
        <v>6.5714285714285712</v>
      </c>
      <c r="AD333" s="101">
        <f>IFERROR(_xlfn.XLOOKUP($D333,'Modelling New'!$D:$D,'Modelling New'!$T:$T)*1000,"")</f>
        <v>33989.340219935533</v>
      </c>
      <c r="AE333" s="109">
        <f>IFERROR(_xlfn.XLOOKUP($D333,'Modelling New'!$D:$D,'Modelling New'!O:O),"")</f>
        <v>0.64485168784471436</v>
      </c>
      <c r="AF333" s="108">
        <f>IFERROR(_xlfn.XLOOKUP($D333,'Modelling New'!$D:$D,'Modelling New'!W:W),"")</f>
        <v>0.17656653357652891</v>
      </c>
      <c r="AG333" s="108">
        <f>IFERROR(_xlfn.XLOOKUP($D333,'Modelling New'!$D:$D,'Modelling New'!AE:AE),"")</f>
        <v>0.98040000000000005</v>
      </c>
      <c r="AH333" s="128">
        <f>IFERROR(_xlfn.XLOOKUP($D333,'Modelling New'!$D:$D,'Modelling New'!AF:AF),"")</f>
        <v>0.98</v>
      </c>
      <c r="AN333" s="105"/>
      <c r="AO333" s="108"/>
      <c r="AP333" s="108"/>
      <c r="AQ333" s="108"/>
      <c r="AR333" s="101">
        <f>'Basic Data'!$B$98/1000</f>
        <v>8.0208999999999993</v>
      </c>
      <c r="AT333" s="7" t="str">
        <f>IFERROR(_xlfn.XLOOKUP(Table13[[#This Row],[Date]],'Raw Data'!$G:$G,'Raw Data'!$AN:$AN),"")</f>
        <v/>
      </c>
      <c r="AU333" s="7">
        <f>IFERROR(_xlfn.XLOOKUP(Table13[[#This Row],[Month Year]],'Modelling New'!$D:$D,'Modelling New'!$AO:$AO),"")</f>
        <v>8</v>
      </c>
      <c r="AV333" s="7">
        <f>SUMIF('Curtailment Records'!$C:$C,Table13[[#This Row],[Date]],'Curtailment Records'!$R:$R)/1000</f>
        <v>0</v>
      </c>
    </row>
    <row r="334" spans="1:48" x14ac:dyDescent="0.3">
      <c r="A334" s="100">
        <f t="shared" si="23"/>
        <v>46077</v>
      </c>
      <c r="B334" s="101">
        <f>YEAR(Table13[[#This Row],[Date]])+IF(MONTH(Table13[[#This Row],[Date]])&gt;=4,1,0)</f>
        <v>2026</v>
      </c>
      <c r="C334" s="7">
        <f>YEAR(Table13[[#This Row],[Date]])</f>
        <v>2026</v>
      </c>
      <c r="D334" s="102">
        <f>Table13[[#This Row],[Date]]-DAY(Table13[[#This Row],[Date]])+1</f>
        <v>46054</v>
      </c>
      <c r="E334" s="7">
        <f t="shared" si="20"/>
        <v>28</v>
      </c>
      <c r="F334" s="103" t="str">
        <f>IFERROR(_xlfn.XLOOKUP($A334,'Raw Data'!$G:$G,'Raw Data'!$AM:$AM),"")</f>
        <v/>
      </c>
      <c r="G334" s="104" t="str">
        <f>IFERROR(_xlfn.XLOOKUP($A334,'Raw Data'!$G:$G,'Raw Data'!$AB:$AB),"")</f>
        <v/>
      </c>
      <c r="H334" s="104"/>
      <c r="I334" s="104" t="str">
        <f>IFERROR(_xlfn.XLOOKUP($A334,'Raw Data'!$G:$G,'Raw Data'!$AC:$AC),"")</f>
        <v/>
      </c>
      <c r="J334" s="104"/>
      <c r="K334" s="104" t="str">
        <f>IFERROR(_xlfn.XLOOKUP($A334,'Raw Data'!$G:$G,'Raw Data'!AD:AD),"")</f>
        <v/>
      </c>
      <c r="L334" s="104" t="str">
        <f>IFERROR(_xlfn.XLOOKUP($A334,'Raw Data'!$G:$G,'Raw Data'!AE:AE),"")</f>
        <v/>
      </c>
      <c r="M334" s="104" t="str">
        <f>IFERROR(_xlfn.XLOOKUP($A334,'Raw Data'!$G:$G,'Raw Data'!AF:AF),"")</f>
        <v/>
      </c>
      <c r="N334" s="104" t="str">
        <f>IFERROR(_xlfn.XLOOKUP($A334,'Raw Data'!$G:$G,'Raw Data'!AG:AG),"")</f>
        <v/>
      </c>
      <c r="O334" s="105" t="str">
        <f>IFERROR(1-SUMIF('Plant BD'!$B:$B,$A334,'Plant BD'!$AM:$AM)/($AA334+SUMIF('Plant BD'!$B:$B,$A334,'Plant BD'!$AM:$AM)),"")</f>
        <v/>
      </c>
      <c r="P334" s="105"/>
      <c r="Q334" s="106"/>
      <c r="R334" s="105" t="str">
        <f>IFERROR(1-SUMIF('Grid BD'!$B:$B,$A334,'Grid BD'!$AE:$AE)/($AA334+SUMIF('Grid BD'!$B:$B,$A334,'Grid BD'!$AE:$AE)),"")</f>
        <v/>
      </c>
      <c r="T334" s="106"/>
      <c r="U334" s="107" t="str">
        <f t="shared" si="21"/>
        <v/>
      </c>
      <c r="V334" s="107"/>
      <c r="W334" s="108" t="str">
        <f t="shared" si="22"/>
        <v/>
      </c>
      <c r="X334" s="101" t="str">
        <f>IFERROR(_xlfn.XLOOKUP($A334,'Raw Data'!$G:$G,'Raw Data'!AI:AI),"")</f>
        <v/>
      </c>
      <c r="Y334" s="101" t="str">
        <f>IFERROR(_xlfn.XLOOKUP($A334,'Raw Data'!$G:$G,'Raw Data'!AJ:AJ),"")</f>
        <v/>
      </c>
      <c r="Z334" s="101" t="str">
        <f>IFERROR(_xlfn.XLOOKUP($A334,'Raw Data'!$G:$G,'Raw Data'!AK:AK),"")</f>
        <v/>
      </c>
      <c r="AA334" s="101" t="str">
        <f>IFERROR(_xlfn.XLOOKUP($A334,'Raw Data'!$G:$G,'Raw Data'!$AL:$AL)*(1+(_xlfn.XLOOKUP(Table13[[#This Row],[Month Year]],JMR!$A:$A,JMR!$J:$J))),"")</f>
        <v/>
      </c>
      <c r="AB334" s="101" t="str">
        <f>IFERROR(_xlfn.XLOOKUP($A334,'Raw Data'!$G:$G,'Raw Data'!H:H),"")</f>
        <v/>
      </c>
      <c r="AC334" s="67">
        <f>IFERROR(_xlfn.XLOOKUP($D334,'Modelling New'!$D:$D,'Modelling New'!P:P),"")</f>
        <v>6.5714285714285712</v>
      </c>
      <c r="AD334" s="101">
        <f>IFERROR(_xlfn.XLOOKUP($D334,'Modelling New'!$D:$D,'Modelling New'!$T:$T)*1000,"")</f>
        <v>33989.340219935533</v>
      </c>
      <c r="AE334" s="109">
        <f>IFERROR(_xlfn.XLOOKUP($D334,'Modelling New'!$D:$D,'Modelling New'!O:O),"")</f>
        <v>0.64485168784471436</v>
      </c>
      <c r="AF334" s="108">
        <f>IFERROR(_xlfn.XLOOKUP($D334,'Modelling New'!$D:$D,'Modelling New'!W:W),"")</f>
        <v>0.17656653357652891</v>
      </c>
      <c r="AG334" s="108">
        <f>IFERROR(_xlfn.XLOOKUP($D334,'Modelling New'!$D:$D,'Modelling New'!AE:AE),"")</f>
        <v>0.98040000000000005</v>
      </c>
      <c r="AH334" s="128">
        <f>IFERROR(_xlfn.XLOOKUP($D334,'Modelling New'!$D:$D,'Modelling New'!AF:AF),"")</f>
        <v>0.98</v>
      </c>
      <c r="AN334" s="105"/>
      <c r="AO334" s="108"/>
      <c r="AP334" s="108"/>
      <c r="AQ334" s="108"/>
      <c r="AR334" s="101">
        <f>'Basic Data'!$B$98/1000</f>
        <v>8.0208999999999993</v>
      </c>
      <c r="AT334" s="7" t="str">
        <f>IFERROR(_xlfn.XLOOKUP(Table13[[#This Row],[Date]],'Raw Data'!$G:$G,'Raw Data'!$AN:$AN),"")</f>
        <v/>
      </c>
      <c r="AU334" s="7">
        <f>IFERROR(_xlfn.XLOOKUP(Table13[[#This Row],[Month Year]],'Modelling New'!$D:$D,'Modelling New'!$AO:$AO),"")</f>
        <v>8</v>
      </c>
      <c r="AV334" s="7">
        <f>SUMIF('Curtailment Records'!$C:$C,Table13[[#This Row],[Date]],'Curtailment Records'!$R:$R)/1000</f>
        <v>0</v>
      </c>
    </row>
    <row r="335" spans="1:48" x14ac:dyDescent="0.3">
      <c r="A335" s="100">
        <f t="shared" si="23"/>
        <v>46078</v>
      </c>
      <c r="B335" s="101">
        <f>YEAR(Table13[[#This Row],[Date]])+IF(MONTH(Table13[[#This Row],[Date]])&gt;=4,1,0)</f>
        <v>2026</v>
      </c>
      <c r="C335" s="7">
        <f>YEAR(Table13[[#This Row],[Date]])</f>
        <v>2026</v>
      </c>
      <c r="D335" s="102">
        <f>Table13[[#This Row],[Date]]-DAY(Table13[[#This Row],[Date]])+1</f>
        <v>46054</v>
      </c>
      <c r="E335" s="7">
        <f t="shared" si="20"/>
        <v>28</v>
      </c>
      <c r="F335" s="103" t="str">
        <f>IFERROR(_xlfn.XLOOKUP($A335,'Raw Data'!$G:$G,'Raw Data'!$AM:$AM),"")</f>
        <v/>
      </c>
      <c r="G335" s="104" t="str">
        <f>IFERROR(_xlfn.XLOOKUP($A335,'Raw Data'!$G:$G,'Raw Data'!$AB:$AB),"")</f>
        <v/>
      </c>
      <c r="H335" s="104"/>
      <c r="I335" s="104" t="str">
        <f>IFERROR(_xlfn.XLOOKUP($A335,'Raw Data'!$G:$G,'Raw Data'!$AC:$AC),"")</f>
        <v/>
      </c>
      <c r="J335" s="104"/>
      <c r="K335" s="104" t="str">
        <f>IFERROR(_xlfn.XLOOKUP($A335,'Raw Data'!$G:$G,'Raw Data'!AD:AD),"")</f>
        <v/>
      </c>
      <c r="L335" s="104" t="str">
        <f>IFERROR(_xlfn.XLOOKUP($A335,'Raw Data'!$G:$G,'Raw Data'!AE:AE),"")</f>
        <v/>
      </c>
      <c r="M335" s="104" t="str">
        <f>IFERROR(_xlfn.XLOOKUP($A335,'Raw Data'!$G:$G,'Raw Data'!AF:AF),"")</f>
        <v/>
      </c>
      <c r="N335" s="104" t="str">
        <f>IFERROR(_xlfn.XLOOKUP($A335,'Raw Data'!$G:$G,'Raw Data'!AG:AG),"")</f>
        <v/>
      </c>
      <c r="O335" s="105" t="str">
        <f>IFERROR(1-SUMIF('Plant BD'!$B:$B,$A335,'Plant BD'!$AM:$AM)/($AA335+SUMIF('Plant BD'!$B:$B,$A335,'Plant BD'!$AM:$AM)),"")</f>
        <v/>
      </c>
      <c r="P335" s="105"/>
      <c r="Q335" s="106"/>
      <c r="R335" s="105" t="str">
        <f>IFERROR(1-SUMIF('Grid BD'!$B:$B,$A335,'Grid BD'!$AE:$AE)/($AA335+SUMIF('Grid BD'!$B:$B,$A335,'Grid BD'!$AE:$AE)),"")</f>
        <v/>
      </c>
      <c r="T335" s="106"/>
      <c r="U335" s="107" t="str">
        <f t="shared" si="21"/>
        <v/>
      </c>
      <c r="V335" s="107"/>
      <c r="W335" s="108" t="str">
        <f t="shared" si="22"/>
        <v/>
      </c>
      <c r="X335" s="101" t="str">
        <f>IFERROR(_xlfn.XLOOKUP($A335,'Raw Data'!$G:$G,'Raw Data'!AI:AI),"")</f>
        <v/>
      </c>
      <c r="Y335" s="101" t="str">
        <f>IFERROR(_xlfn.XLOOKUP($A335,'Raw Data'!$G:$G,'Raw Data'!AJ:AJ),"")</f>
        <v/>
      </c>
      <c r="Z335" s="101" t="str">
        <f>IFERROR(_xlfn.XLOOKUP($A335,'Raw Data'!$G:$G,'Raw Data'!AK:AK),"")</f>
        <v/>
      </c>
      <c r="AA335" s="101" t="str">
        <f>IFERROR(_xlfn.XLOOKUP($A335,'Raw Data'!$G:$G,'Raw Data'!$AL:$AL)*(1+(_xlfn.XLOOKUP(Table13[[#This Row],[Month Year]],JMR!$A:$A,JMR!$J:$J))),"")</f>
        <v/>
      </c>
      <c r="AB335" s="101" t="str">
        <f>IFERROR(_xlfn.XLOOKUP($A335,'Raw Data'!$G:$G,'Raw Data'!H:H),"")</f>
        <v/>
      </c>
      <c r="AC335" s="67">
        <f>IFERROR(_xlfn.XLOOKUP($D335,'Modelling New'!$D:$D,'Modelling New'!P:P),"")</f>
        <v>6.5714285714285712</v>
      </c>
      <c r="AD335" s="101">
        <f>IFERROR(_xlfn.XLOOKUP($D335,'Modelling New'!$D:$D,'Modelling New'!$T:$T)*1000,"")</f>
        <v>33989.340219935533</v>
      </c>
      <c r="AE335" s="109">
        <f>IFERROR(_xlfn.XLOOKUP($D335,'Modelling New'!$D:$D,'Modelling New'!O:O),"")</f>
        <v>0.64485168784471436</v>
      </c>
      <c r="AF335" s="108">
        <f>IFERROR(_xlfn.XLOOKUP($D335,'Modelling New'!$D:$D,'Modelling New'!W:W),"")</f>
        <v>0.17656653357652891</v>
      </c>
      <c r="AG335" s="108">
        <f>IFERROR(_xlfn.XLOOKUP($D335,'Modelling New'!$D:$D,'Modelling New'!AE:AE),"")</f>
        <v>0.98040000000000005</v>
      </c>
      <c r="AH335" s="128">
        <f>IFERROR(_xlfn.XLOOKUP($D335,'Modelling New'!$D:$D,'Modelling New'!AF:AF),"")</f>
        <v>0.98</v>
      </c>
      <c r="AN335" s="105"/>
      <c r="AO335" s="108"/>
      <c r="AP335" s="108"/>
      <c r="AQ335" s="108"/>
      <c r="AR335" s="101">
        <f>'Basic Data'!$B$98/1000</f>
        <v>8.0208999999999993</v>
      </c>
      <c r="AT335" s="7" t="str">
        <f>IFERROR(_xlfn.XLOOKUP(Table13[[#This Row],[Date]],'Raw Data'!$G:$G,'Raw Data'!$AN:$AN),"")</f>
        <v/>
      </c>
      <c r="AU335" s="7">
        <f>IFERROR(_xlfn.XLOOKUP(Table13[[#This Row],[Month Year]],'Modelling New'!$D:$D,'Modelling New'!$AO:$AO),"")</f>
        <v>8</v>
      </c>
      <c r="AV335" s="7">
        <f>SUMIF('Curtailment Records'!$C:$C,Table13[[#This Row],[Date]],'Curtailment Records'!$R:$R)/1000</f>
        <v>0</v>
      </c>
    </row>
    <row r="336" spans="1:48" x14ac:dyDescent="0.3">
      <c r="A336" s="100">
        <f t="shared" si="23"/>
        <v>46079</v>
      </c>
      <c r="B336" s="101">
        <f>YEAR(Table13[[#This Row],[Date]])+IF(MONTH(Table13[[#This Row],[Date]])&gt;=4,1,0)</f>
        <v>2026</v>
      </c>
      <c r="C336" s="7">
        <f>YEAR(Table13[[#This Row],[Date]])</f>
        <v>2026</v>
      </c>
      <c r="D336" s="102">
        <f>Table13[[#This Row],[Date]]-DAY(Table13[[#This Row],[Date]])+1</f>
        <v>46054</v>
      </c>
      <c r="E336" s="7">
        <f t="shared" si="20"/>
        <v>28</v>
      </c>
      <c r="F336" s="103" t="str">
        <f>IFERROR(_xlfn.XLOOKUP($A336,'Raw Data'!$G:$G,'Raw Data'!$AM:$AM),"")</f>
        <v/>
      </c>
      <c r="G336" s="104" t="str">
        <f>IFERROR(_xlfn.XLOOKUP($A336,'Raw Data'!$G:$G,'Raw Data'!$AB:$AB),"")</f>
        <v/>
      </c>
      <c r="H336" s="104"/>
      <c r="I336" s="104" t="str">
        <f>IFERROR(_xlfn.XLOOKUP($A336,'Raw Data'!$G:$G,'Raw Data'!$AC:$AC),"")</f>
        <v/>
      </c>
      <c r="J336" s="104"/>
      <c r="K336" s="104" t="str">
        <f>IFERROR(_xlfn.XLOOKUP($A336,'Raw Data'!$G:$G,'Raw Data'!AD:AD),"")</f>
        <v/>
      </c>
      <c r="L336" s="104" t="str">
        <f>IFERROR(_xlfn.XLOOKUP($A336,'Raw Data'!$G:$G,'Raw Data'!AE:AE),"")</f>
        <v/>
      </c>
      <c r="M336" s="104" t="str">
        <f>IFERROR(_xlfn.XLOOKUP($A336,'Raw Data'!$G:$G,'Raw Data'!AF:AF),"")</f>
        <v/>
      </c>
      <c r="N336" s="104" t="str">
        <f>IFERROR(_xlfn.XLOOKUP($A336,'Raw Data'!$G:$G,'Raw Data'!AG:AG),"")</f>
        <v/>
      </c>
      <c r="O336" s="105" t="str">
        <f>IFERROR(1-SUMIF('Plant BD'!$B:$B,$A336,'Plant BD'!$AM:$AM)/($AA336+SUMIF('Plant BD'!$B:$B,$A336,'Plant BD'!$AM:$AM)),"")</f>
        <v/>
      </c>
      <c r="P336" s="105"/>
      <c r="Q336" s="106"/>
      <c r="R336" s="105" t="str">
        <f>IFERROR(1-SUMIF('Grid BD'!$B:$B,$A336,'Grid BD'!$AE:$AE)/($AA336+SUMIF('Grid BD'!$B:$B,$A336,'Grid BD'!$AE:$AE)),"")</f>
        <v/>
      </c>
      <c r="T336" s="106"/>
      <c r="U336" s="107" t="str">
        <f t="shared" si="21"/>
        <v/>
      </c>
      <c r="V336" s="107"/>
      <c r="W336" s="108" t="str">
        <f t="shared" si="22"/>
        <v/>
      </c>
      <c r="X336" s="101" t="str">
        <f>IFERROR(_xlfn.XLOOKUP($A336,'Raw Data'!$G:$G,'Raw Data'!AI:AI),"")</f>
        <v/>
      </c>
      <c r="Y336" s="101" t="str">
        <f>IFERROR(_xlfn.XLOOKUP($A336,'Raw Data'!$G:$G,'Raw Data'!AJ:AJ),"")</f>
        <v/>
      </c>
      <c r="Z336" s="101" t="str">
        <f>IFERROR(_xlfn.XLOOKUP($A336,'Raw Data'!$G:$G,'Raw Data'!AK:AK),"")</f>
        <v/>
      </c>
      <c r="AA336" s="101" t="str">
        <f>IFERROR(_xlfn.XLOOKUP($A336,'Raw Data'!$G:$G,'Raw Data'!$AL:$AL)*(1+(_xlfn.XLOOKUP(Table13[[#This Row],[Month Year]],JMR!$A:$A,JMR!$J:$J))),"")</f>
        <v/>
      </c>
      <c r="AB336" s="101" t="str">
        <f>IFERROR(_xlfn.XLOOKUP($A336,'Raw Data'!$G:$G,'Raw Data'!H:H),"")</f>
        <v/>
      </c>
      <c r="AC336" s="67">
        <f>IFERROR(_xlfn.XLOOKUP($D336,'Modelling New'!$D:$D,'Modelling New'!P:P),"")</f>
        <v>6.5714285714285712</v>
      </c>
      <c r="AD336" s="101">
        <f>IFERROR(_xlfn.XLOOKUP($D336,'Modelling New'!$D:$D,'Modelling New'!$T:$T)*1000,"")</f>
        <v>33989.340219935533</v>
      </c>
      <c r="AE336" s="109">
        <f>IFERROR(_xlfn.XLOOKUP($D336,'Modelling New'!$D:$D,'Modelling New'!O:O),"")</f>
        <v>0.64485168784471436</v>
      </c>
      <c r="AF336" s="108">
        <f>IFERROR(_xlfn.XLOOKUP($D336,'Modelling New'!$D:$D,'Modelling New'!W:W),"")</f>
        <v>0.17656653357652891</v>
      </c>
      <c r="AG336" s="108">
        <f>IFERROR(_xlfn.XLOOKUP($D336,'Modelling New'!$D:$D,'Modelling New'!AE:AE),"")</f>
        <v>0.98040000000000005</v>
      </c>
      <c r="AH336" s="128">
        <f>IFERROR(_xlfn.XLOOKUP($D336,'Modelling New'!$D:$D,'Modelling New'!AF:AF),"")</f>
        <v>0.98</v>
      </c>
      <c r="AN336" s="105"/>
      <c r="AO336" s="108"/>
      <c r="AP336" s="108"/>
      <c r="AQ336" s="108"/>
      <c r="AR336" s="101">
        <f>'Basic Data'!$B$98/1000</f>
        <v>8.0208999999999993</v>
      </c>
      <c r="AT336" s="7" t="str">
        <f>IFERROR(_xlfn.XLOOKUP(Table13[[#This Row],[Date]],'Raw Data'!$G:$G,'Raw Data'!$AN:$AN),"")</f>
        <v/>
      </c>
      <c r="AU336" s="7">
        <f>IFERROR(_xlfn.XLOOKUP(Table13[[#This Row],[Month Year]],'Modelling New'!$D:$D,'Modelling New'!$AO:$AO),"")</f>
        <v>8</v>
      </c>
      <c r="AV336" s="7">
        <f>SUMIF('Curtailment Records'!$C:$C,Table13[[#This Row],[Date]],'Curtailment Records'!$R:$R)/1000</f>
        <v>0</v>
      </c>
    </row>
    <row r="337" spans="1:48" x14ac:dyDescent="0.3">
      <c r="A337" s="100">
        <f t="shared" si="23"/>
        <v>46080</v>
      </c>
      <c r="B337" s="101">
        <f>YEAR(Table13[[#This Row],[Date]])+IF(MONTH(Table13[[#This Row],[Date]])&gt;=4,1,0)</f>
        <v>2026</v>
      </c>
      <c r="C337" s="7">
        <f>YEAR(Table13[[#This Row],[Date]])</f>
        <v>2026</v>
      </c>
      <c r="D337" s="102">
        <f>Table13[[#This Row],[Date]]-DAY(Table13[[#This Row],[Date]])+1</f>
        <v>46054</v>
      </c>
      <c r="E337" s="7">
        <f t="shared" si="20"/>
        <v>28</v>
      </c>
      <c r="F337" s="103" t="str">
        <f>IFERROR(_xlfn.XLOOKUP($A337,'Raw Data'!$G:$G,'Raw Data'!$AM:$AM),"")</f>
        <v/>
      </c>
      <c r="G337" s="104" t="str">
        <f>IFERROR(_xlfn.XLOOKUP($A337,'Raw Data'!$G:$G,'Raw Data'!$AB:$AB),"")</f>
        <v/>
      </c>
      <c r="H337" s="104"/>
      <c r="I337" s="104" t="str">
        <f>IFERROR(_xlfn.XLOOKUP($A337,'Raw Data'!$G:$G,'Raw Data'!$AC:$AC),"")</f>
        <v/>
      </c>
      <c r="J337" s="104"/>
      <c r="K337" s="104" t="str">
        <f>IFERROR(_xlfn.XLOOKUP($A337,'Raw Data'!$G:$G,'Raw Data'!AD:AD),"")</f>
        <v/>
      </c>
      <c r="L337" s="104" t="str">
        <f>IFERROR(_xlfn.XLOOKUP($A337,'Raw Data'!$G:$G,'Raw Data'!AE:AE),"")</f>
        <v/>
      </c>
      <c r="M337" s="104" t="str">
        <f>IFERROR(_xlfn.XLOOKUP($A337,'Raw Data'!$G:$G,'Raw Data'!AF:AF),"")</f>
        <v/>
      </c>
      <c r="N337" s="104" t="str">
        <f>IFERROR(_xlfn.XLOOKUP($A337,'Raw Data'!$G:$G,'Raw Data'!AG:AG),"")</f>
        <v/>
      </c>
      <c r="O337" s="105" t="str">
        <f>IFERROR(1-SUMIF('Plant BD'!$B:$B,$A337,'Plant BD'!$AM:$AM)/($AA337+SUMIF('Plant BD'!$B:$B,$A337,'Plant BD'!$AM:$AM)),"")</f>
        <v/>
      </c>
      <c r="P337" s="105"/>
      <c r="Q337" s="106"/>
      <c r="R337" s="105" t="str">
        <f>IFERROR(1-SUMIF('Grid BD'!$B:$B,$A337,'Grid BD'!$AE:$AE)/($AA337+SUMIF('Grid BD'!$B:$B,$A337,'Grid BD'!$AE:$AE)),"")</f>
        <v/>
      </c>
      <c r="T337" s="106"/>
      <c r="U337" s="107" t="str">
        <f t="shared" si="21"/>
        <v/>
      </c>
      <c r="V337" s="107"/>
      <c r="W337" s="108" t="str">
        <f t="shared" si="22"/>
        <v/>
      </c>
      <c r="X337" s="101" t="str">
        <f>IFERROR(_xlfn.XLOOKUP($A337,'Raw Data'!$G:$G,'Raw Data'!AI:AI),"")</f>
        <v/>
      </c>
      <c r="Y337" s="101" t="str">
        <f>IFERROR(_xlfn.XLOOKUP($A337,'Raw Data'!$G:$G,'Raw Data'!AJ:AJ),"")</f>
        <v/>
      </c>
      <c r="Z337" s="101" t="str">
        <f>IFERROR(_xlfn.XLOOKUP($A337,'Raw Data'!$G:$G,'Raw Data'!AK:AK),"")</f>
        <v/>
      </c>
      <c r="AA337" s="101" t="str">
        <f>IFERROR(_xlfn.XLOOKUP($A337,'Raw Data'!$G:$G,'Raw Data'!$AL:$AL)*(1+(_xlfn.XLOOKUP(Table13[[#This Row],[Month Year]],JMR!$A:$A,JMR!$J:$J))),"")</f>
        <v/>
      </c>
      <c r="AB337" s="101" t="str">
        <f>IFERROR(_xlfn.XLOOKUP($A337,'Raw Data'!$G:$G,'Raw Data'!H:H),"")</f>
        <v/>
      </c>
      <c r="AC337" s="67">
        <f>IFERROR(_xlfn.XLOOKUP($D337,'Modelling New'!$D:$D,'Modelling New'!P:P),"")</f>
        <v>6.5714285714285712</v>
      </c>
      <c r="AD337" s="101">
        <f>IFERROR(_xlfn.XLOOKUP($D337,'Modelling New'!$D:$D,'Modelling New'!$T:$T)*1000,"")</f>
        <v>33989.340219935533</v>
      </c>
      <c r="AE337" s="109">
        <f>IFERROR(_xlfn.XLOOKUP($D337,'Modelling New'!$D:$D,'Modelling New'!O:O),"")</f>
        <v>0.64485168784471436</v>
      </c>
      <c r="AF337" s="108">
        <f>IFERROR(_xlfn.XLOOKUP($D337,'Modelling New'!$D:$D,'Modelling New'!W:W),"")</f>
        <v>0.17656653357652891</v>
      </c>
      <c r="AG337" s="108">
        <f>IFERROR(_xlfn.XLOOKUP($D337,'Modelling New'!$D:$D,'Modelling New'!AE:AE),"")</f>
        <v>0.98040000000000005</v>
      </c>
      <c r="AH337" s="128">
        <f>IFERROR(_xlfn.XLOOKUP($D337,'Modelling New'!$D:$D,'Modelling New'!AF:AF),"")</f>
        <v>0.98</v>
      </c>
      <c r="AN337" s="105"/>
      <c r="AO337" s="108"/>
      <c r="AP337" s="108"/>
      <c r="AQ337" s="108"/>
      <c r="AR337" s="101">
        <f>'Basic Data'!$B$98/1000</f>
        <v>8.0208999999999993</v>
      </c>
      <c r="AT337" s="7" t="str">
        <f>IFERROR(_xlfn.XLOOKUP(Table13[[#This Row],[Date]],'Raw Data'!$G:$G,'Raw Data'!$AN:$AN),"")</f>
        <v/>
      </c>
      <c r="AU337" s="7">
        <f>IFERROR(_xlfn.XLOOKUP(Table13[[#This Row],[Month Year]],'Modelling New'!$D:$D,'Modelling New'!$AO:$AO),"")</f>
        <v>8</v>
      </c>
      <c r="AV337" s="7">
        <f>SUMIF('Curtailment Records'!$C:$C,Table13[[#This Row],[Date]],'Curtailment Records'!$R:$R)/1000</f>
        <v>0</v>
      </c>
    </row>
    <row r="338" spans="1:48" x14ac:dyDescent="0.3">
      <c r="A338" s="100">
        <f t="shared" si="23"/>
        <v>46081</v>
      </c>
      <c r="B338" s="101">
        <f>YEAR(Table13[[#This Row],[Date]])+IF(MONTH(Table13[[#This Row],[Date]])&gt;=4,1,0)</f>
        <v>2026</v>
      </c>
      <c r="C338" s="7">
        <f>YEAR(Table13[[#This Row],[Date]])</f>
        <v>2026</v>
      </c>
      <c r="D338" s="102">
        <f>Table13[[#This Row],[Date]]-DAY(Table13[[#This Row],[Date]])+1</f>
        <v>46054</v>
      </c>
      <c r="E338" s="7">
        <f t="shared" si="20"/>
        <v>28</v>
      </c>
      <c r="F338" s="103" t="str">
        <f>IFERROR(_xlfn.XLOOKUP($A338,'Raw Data'!$G:$G,'Raw Data'!$AM:$AM),"")</f>
        <v/>
      </c>
      <c r="G338" s="104" t="str">
        <f>IFERROR(_xlfn.XLOOKUP($A338,'Raw Data'!$G:$G,'Raw Data'!$AB:$AB),"")</f>
        <v/>
      </c>
      <c r="H338" s="104"/>
      <c r="I338" s="104" t="str">
        <f>IFERROR(_xlfn.XLOOKUP($A338,'Raw Data'!$G:$G,'Raw Data'!$AC:$AC),"")</f>
        <v/>
      </c>
      <c r="J338" s="104"/>
      <c r="K338" s="104" t="str">
        <f>IFERROR(_xlfn.XLOOKUP($A338,'Raw Data'!$G:$G,'Raw Data'!AD:AD),"")</f>
        <v/>
      </c>
      <c r="L338" s="104" t="str">
        <f>IFERROR(_xlfn.XLOOKUP($A338,'Raw Data'!$G:$G,'Raw Data'!AE:AE),"")</f>
        <v/>
      </c>
      <c r="M338" s="104" t="str">
        <f>IFERROR(_xlfn.XLOOKUP($A338,'Raw Data'!$G:$G,'Raw Data'!AF:AF),"")</f>
        <v/>
      </c>
      <c r="N338" s="104" t="str">
        <f>IFERROR(_xlfn.XLOOKUP($A338,'Raw Data'!$G:$G,'Raw Data'!AG:AG),"")</f>
        <v/>
      </c>
      <c r="O338" s="105" t="str">
        <f>IFERROR(1-SUMIF('Plant BD'!$B:$B,$A338,'Plant BD'!$AM:$AM)/($AA338+SUMIF('Plant BD'!$B:$B,$A338,'Plant BD'!$AM:$AM)),"")</f>
        <v/>
      </c>
      <c r="P338" s="105"/>
      <c r="Q338" s="106"/>
      <c r="R338" s="105" t="str">
        <f>IFERROR(1-SUMIF('Grid BD'!$B:$B,$A338,'Grid BD'!$AE:$AE)/($AA338+SUMIF('Grid BD'!$B:$B,$A338,'Grid BD'!$AE:$AE)),"")</f>
        <v/>
      </c>
      <c r="T338" s="106"/>
      <c r="U338" s="107" t="str">
        <f t="shared" si="21"/>
        <v/>
      </c>
      <c r="V338" s="107"/>
      <c r="W338" s="108" t="str">
        <f t="shared" si="22"/>
        <v/>
      </c>
      <c r="X338" s="101" t="str">
        <f>IFERROR(_xlfn.XLOOKUP($A338,'Raw Data'!$G:$G,'Raw Data'!AI:AI),"")</f>
        <v/>
      </c>
      <c r="Y338" s="101" t="str">
        <f>IFERROR(_xlfn.XLOOKUP($A338,'Raw Data'!$G:$G,'Raw Data'!AJ:AJ),"")</f>
        <v/>
      </c>
      <c r="Z338" s="101" t="str">
        <f>IFERROR(_xlfn.XLOOKUP($A338,'Raw Data'!$G:$G,'Raw Data'!AK:AK),"")</f>
        <v/>
      </c>
      <c r="AA338" s="101" t="str">
        <f>IFERROR(_xlfn.XLOOKUP($A338,'Raw Data'!$G:$G,'Raw Data'!$AL:$AL)*(1+(_xlfn.XLOOKUP(Table13[[#This Row],[Month Year]],JMR!$A:$A,JMR!$J:$J))),"")</f>
        <v/>
      </c>
      <c r="AB338" s="101" t="str">
        <f>IFERROR(_xlfn.XLOOKUP($A338,'Raw Data'!$G:$G,'Raw Data'!H:H),"")</f>
        <v/>
      </c>
      <c r="AC338" s="67">
        <f>IFERROR(_xlfn.XLOOKUP($D338,'Modelling New'!$D:$D,'Modelling New'!P:P),"")</f>
        <v>6.5714285714285712</v>
      </c>
      <c r="AD338" s="101">
        <f>IFERROR(_xlfn.XLOOKUP($D338,'Modelling New'!$D:$D,'Modelling New'!$T:$T)*1000,"")</f>
        <v>33989.340219935533</v>
      </c>
      <c r="AE338" s="109">
        <f>IFERROR(_xlfn.XLOOKUP($D338,'Modelling New'!$D:$D,'Modelling New'!O:O),"")</f>
        <v>0.64485168784471436</v>
      </c>
      <c r="AF338" s="108">
        <f>IFERROR(_xlfn.XLOOKUP($D338,'Modelling New'!$D:$D,'Modelling New'!W:W),"")</f>
        <v>0.17656653357652891</v>
      </c>
      <c r="AG338" s="108">
        <f>IFERROR(_xlfn.XLOOKUP($D338,'Modelling New'!$D:$D,'Modelling New'!AE:AE),"")</f>
        <v>0.98040000000000005</v>
      </c>
      <c r="AH338" s="128">
        <f>IFERROR(_xlfn.XLOOKUP($D338,'Modelling New'!$D:$D,'Modelling New'!AF:AF),"")</f>
        <v>0.98</v>
      </c>
      <c r="AN338" s="105"/>
      <c r="AO338" s="108"/>
      <c r="AP338" s="108"/>
      <c r="AQ338" s="108"/>
      <c r="AR338" s="101">
        <f>'Basic Data'!$B$98/1000</f>
        <v>8.0208999999999993</v>
      </c>
      <c r="AT338" s="7" t="str">
        <f>IFERROR(_xlfn.XLOOKUP(Table13[[#This Row],[Date]],'Raw Data'!$G:$G,'Raw Data'!$AN:$AN),"")</f>
        <v/>
      </c>
      <c r="AU338" s="7">
        <f>IFERROR(_xlfn.XLOOKUP(Table13[[#This Row],[Month Year]],'Modelling New'!$D:$D,'Modelling New'!$AO:$AO),"")</f>
        <v>8</v>
      </c>
      <c r="AV338" s="7">
        <f>SUMIF('Curtailment Records'!$C:$C,Table13[[#This Row],[Date]],'Curtailment Records'!$R:$R)/1000</f>
        <v>0</v>
      </c>
    </row>
    <row r="339" spans="1:48" x14ac:dyDescent="0.3">
      <c r="A339" s="100">
        <f t="shared" si="23"/>
        <v>46082</v>
      </c>
      <c r="B339" s="101">
        <f>YEAR(Table13[[#This Row],[Date]])+IF(MONTH(Table13[[#This Row],[Date]])&gt;=4,1,0)</f>
        <v>2026</v>
      </c>
      <c r="C339" s="7">
        <f>YEAR(Table13[[#This Row],[Date]])</f>
        <v>2026</v>
      </c>
      <c r="D339" s="102">
        <f>Table13[[#This Row],[Date]]-DAY(Table13[[#This Row],[Date]])+1</f>
        <v>46082</v>
      </c>
      <c r="E339" s="7">
        <f t="shared" si="20"/>
        <v>31</v>
      </c>
      <c r="F339" s="103" t="str">
        <f>IFERROR(_xlfn.XLOOKUP($A339,'Raw Data'!$G:$G,'Raw Data'!$AM:$AM),"")</f>
        <v/>
      </c>
      <c r="G339" s="104" t="str">
        <f>IFERROR(_xlfn.XLOOKUP($A339,'Raw Data'!$G:$G,'Raw Data'!$AB:$AB),"")</f>
        <v/>
      </c>
      <c r="H339" s="104"/>
      <c r="I339" s="104" t="str">
        <f>IFERROR(_xlfn.XLOOKUP($A339,'Raw Data'!$G:$G,'Raw Data'!$AC:$AC),"")</f>
        <v/>
      </c>
      <c r="J339" s="104"/>
      <c r="K339" s="104" t="str">
        <f>IFERROR(_xlfn.XLOOKUP($A339,'Raw Data'!$G:$G,'Raw Data'!AD:AD),"")</f>
        <v/>
      </c>
      <c r="L339" s="104" t="str">
        <f>IFERROR(_xlfn.XLOOKUP($A339,'Raw Data'!$G:$G,'Raw Data'!AE:AE),"")</f>
        <v/>
      </c>
      <c r="M339" s="104" t="str">
        <f>IFERROR(_xlfn.XLOOKUP($A339,'Raw Data'!$G:$G,'Raw Data'!AF:AF),"")</f>
        <v/>
      </c>
      <c r="N339" s="104" t="str">
        <f>IFERROR(_xlfn.XLOOKUP($A339,'Raw Data'!$G:$G,'Raw Data'!AG:AG),"")</f>
        <v/>
      </c>
      <c r="O339" s="105" t="str">
        <f>IFERROR(1-SUMIF('Plant BD'!$B:$B,$A339,'Plant BD'!$AM:$AM)/($AA339+SUMIF('Plant BD'!$B:$B,$A339,'Plant BD'!$AM:$AM)),"")</f>
        <v/>
      </c>
      <c r="P339" s="105"/>
      <c r="Q339" s="106"/>
      <c r="R339" s="105" t="str">
        <f>IFERROR(1-SUMIF('Grid BD'!$B:$B,$A339,'Grid BD'!$AE:$AE)/($AA339+SUMIF('Grid BD'!$B:$B,$A339,'Grid BD'!$AE:$AE)),"")</f>
        <v/>
      </c>
      <c r="T339" s="106"/>
      <c r="U339" s="107" t="str">
        <f t="shared" si="21"/>
        <v/>
      </c>
      <c r="V339" s="107"/>
      <c r="W339" s="108" t="str">
        <f t="shared" si="22"/>
        <v/>
      </c>
      <c r="X339" s="101" t="str">
        <f>IFERROR(_xlfn.XLOOKUP($A339,'Raw Data'!$G:$G,'Raw Data'!AI:AI),"")</f>
        <v/>
      </c>
      <c r="Y339" s="101" t="str">
        <f>IFERROR(_xlfn.XLOOKUP($A339,'Raw Data'!$G:$G,'Raw Data'!AJ:AJ),"")</f>
        <v/>
      </c>
      <c r="Z339" s="101" t="str">
        <f>IFERROR(_xlfn.XLOOKUP($A339,'Raw Data'!$G:$G,'Raw Data'!AK:AK),"")</f>
        <v/>
      </c>
      <c r="AA339" s="101" t="str">
        <f>IFERROR(_xlfn.XLOOKUP($A339,'Raw Data'!$G:$G,'Raw Data'!$AL:$AL)*(1+(_xlfn.XLOOKUP(Table13[[#This Row],[Month Year]],JMR!$A:$A,JMR!$J:$J))),"")</f>
        <v/>
      </c>
      <c r="AB339" s="101" t="str">
        <f>IFERROR(_xlfn.XLOOKUP($A339,'Raw Data'!$G:$G,'Raw Data'!H:H),"")</f>
        <v/>
      </c>
      <c r="AC339" s="67">
        <f>IFERROR(_xlfn.XLOOKUP($D339,'Modelling New'!$D:$D,'Modelling New'!P:P),"")</f>
        <v>6.7870967741935484</v>
      </c>
      <c r="AD339" s="101">
        <f>IFERROR(_xlfn.XLOOKUP($D339,'Modelling New'!$D:$D,'Modelling New'!$T:$T)*1000,"")</f>
        <v>38219.028541703687</v>
      </c>
      <c r="AE339" s="109">
        <f>IFERROR(_xlfn.XLOOKUP($D339,'Modelling New'!$D:$D,'Modelling New'!O:O),"")</f>
        <v>0.70205720444645292</v>
      </c>
      <c r="AF339" s="108">
        <f>IFERROR(_xlfn.XLOOKUP($D339,'Modelling New'!$D:$D,'Modelling New'!W:W),"")</f>
        <v>0.19853875781657757</v>
      </c>
      <c r="AG339" s="108">
        <f>IFERROR(_xlfn.XLOOKUP($D339,'Modelling New'!$D:$D,'Modelling New'!AE:AE),"")</f>
        <v>0.98040000000000005</v>
      </c>
      <c r="AH339" s="128">
        <f>IFERROR(_xlfn.XLOOKUP($D339,'Modelling New'!$D:$D,'Modelling New'!AF:AF),"")</f>
        <v>0.98</v>
      </c>
      <c r="AN339" s="105"/>
      <c r="AO339" s="108"/>
      <c r="AP339" s="108"/>
      <c r="AQ339" s="108"/>
      <c r="AR339" s="101">
        <f>'Basic Data'!$B$98/1000</f>
        <v>8.0208999999999993</v>
      </c>
      <c r="AT339" s="7" t="str">
        <f>IFERROR(_xlfn.XLOOKUP(Table13[[#This Row],[Date]],'Raw Data'!$G:$G,'Raw Data'!$AN:$AN),"")</f>
        <v/>
      </c>
      <c r="AU339" s="7">
        <f>IFERROR(_xlfn.XLOOKUP(Table13[[#This Row],[Month Year]],'Modelling New'!$D:$D,'Modelling New'!$AO:$AO),"")</f>
        <v>8</v>
      </c>
      <c r="AV339" s="7">
        <f>SUMIF('Curtailment Records'!$C:$C,Table13[[#This Row],[Date]],'Curtailment Records'!$R:$R)/1000</f>
        <v>0</v>
      </c>
    </row>
    <row r="340" spans="1:48" x14ac:dyDescent="0.3">
      <c r="A340" s="100">
        <f t="shared" si="23"/>
        <v>46083</v>
      </c>
      <c r="B340" s="101">
        <f>YEAR(Table13[[#This Row],[Date]])+IF(MONTH(Table13[[#This Row],[Date]])&gt;=4,1,0)</f>
        <v>2026</v>
      </c>
      <c r="C340" s="7">
        <f>YEAR(Table13[[#This Row],[Date]])</f>
        <v>2026</v>
      </c>
      <c r="D340" s="102">
        <f>Table13[[#This Row],[Date]]-DAY(Table13[[#This Row],[Date]])+1</f>
        <v>46082</v>
      </c>
      <c r="E340" s="7">
        <f t="shared" si="20"/>
        <v>31</v>
      </c>
      <c r="F340" s="103" t="str">
        <f>IFERROR(_xlfn.XLOOKUP($A340,'Raw Data'!$G:$G,'Raw Data'!$AM:$AM),"")</f>
        <v/>
      </c>
      <c r="G340" s="104" t="str">
        <f>IFERROR(_xlfn.XLOOKUP($A340,'Raw Data'!$G:$G,'Raw Data'!$AB:$AB),"")</f>
        <v/>
      </c>
      <c r="H340" s="104"/>
      <c r="I340" s="104" t="str">
        <f>IFERROR(_xlfn.XLOOKUP($A340,'Raw Data'!$G:$G,'Raw Data'!$AC:$AC),"")</f>
        <v/>
      </c>
      <c r="J340" s="104"/>
      <c r="K340" s="104" t="str">
        <f>IFERROR(_xlfn.XLOOKUP($A340,'Raw Data'!$G:$G,'Raw Data'!AD:AD),"")</f>
        <v/>
      </c>
      <c r="L340" s="104" t="str">
        <f>IFERROR(_xlfn.XLOOKUP($A340,'Raw Data'!$G:$G,'Raw Data'!AE:AE),"")</f>
        <v/>
      </c>
      <c r="M340" s="104" t="str">
        <f>IFERROR(_xlfn.XLOOKUP($A340,'Raw Data'!$G:$G,'Raw Data'!AF:AF),"")</f>
        <v/>
      </c>
      <c r="N340" s="104" t="str">
        <f>IFERROR(_xlfn.XLOOKUP($A340,'Raw Data'!$G:$G,'Raw Data'!AG:AG),"")</f>
        <v/>
      </c>
      <c r="O340" s="105" t="str">
        <f>IFERROR(1-SUMIF('Plant BD'!$B:$B,$A340,'Plant BD'!$AM:$AM)/($AA340+SUMIF('Plant BD'!$B:$B,$A340,'Plant BD'!$AM:$AM)),"")</f>
        <v/>
      </c>
      <c r="P340" s="105"/>
      <c r="Q340" s="106"/>
      <c r="R340" s="105" t="str">
        <f>IFERROR(1-SUMIF('Grid BD'!$B:$B,$A340,'Grid BD'!$AE:$AE)/($AA340+SUMIF('Grid BD'!$B:$B,$A340,'Grid BD'!$AE:$AE)),"")</f>
        <v/>
      </c>
      <c r="T340" s="106"/>
      <c r="U340" s="107" t="str">
        <f t="shared" si="21"/>
        <v/>
      </c>
      <c r="V340" s="107"/>
      <c r="W340" s="108" t="str">
        <f t="shared" si="22"/>
        <v/>
      </c>
      <c r="X340" s="101" t="str">
        <f>IFERROR(_xlfn.XLOOKUP($A340,'Raw Data'!$G:$G,'Raw Data'!AI:AI),"")</f>
        <v/>
      </c>
      <c r="Y340" s="101" t="str">
        <f>IFERROR(_xlfn.XLOOKUP($A340,'Raw Data'!$G:$G,'Raw Data'!AJ:AJ),"")</f>
        <v/>
      </c>
      <c r="Z340" s="101" t="str">
        <f>IFERROR(_xlfn.XLOOKUP($A340,'Raw Data'!$G:$G,'Raw Data'!AK:AK),"")</f>
        <v/>
      </c>
      <c r="AA340" s="101" t="str">
        <f>IFERROR(_xlfn.XLOOKUP($A340,'Raw Data'!$G:$G,'Raw Data'!$AL:$AL)*(1+(_xlfn.XLOOKUP(Table13[[#This Row],[Month Year]],JMR!$A:$A,JMR!$J:$J))),"")</f>
        <v/>
      </c>
      <c r="AB340" s="101" t="str">
        <f>IFERROR(_xlfn.XLOOKUP($A340,'Raw Data'!$G:$G,'Raw Data'!H:H),"")</f>
        <v/>
      </c>
      <c r="AC340" s="67">
        <f>IFERROR(_xlfn.XLOOKUP($D340,'Modelling New'!$D:$D,'Modelling New'!P:P),"")</f>
        <v>6.7870967741935484</v>
      </c>
      <c r="AD340" s="101">
        <f>IFERROR(_xlfn.XLOOKUP($D340,'Modelling New'!$D:$D,'Modelling New'!$T:$T)*1000,"")</f>
        <v>38219.028541703687</v>
      </c>
      <c r="AE340" s="109">
        <f>IFERROR(_xlfn.XLOOKUP($D340,'Modelling New'!$D:$D,'Modelling New'!O:O),"")</f>
        <v>0.70205720444645292</v>
      </c>
      <c r="AF340" s="108">
        <f>IFERROR(_xlfn.XLOOKUP($D340,'Modelling New'!$D:$D,'Modelling New'!W:W),"")</f>
        <v>0.19853875781657757</v>
      </c>
      <c r="AG340" s="108">
        <f>IFERROR(_xlfn.XLOOKUP($D340,'Modelling New'!$D:$D,'Modelling New'!AE:AE),"")</f>
        <v>0.98040000000000005</v>
      </c>
      <c r="AH340" s="128">
        <f>IFERROR(_xlfn.XLOOKUP($D340,'Modelling New'!$D:$D,'Modelling New'!AF:AF),"")</f>
        <v>0.98</v>
      </c>
      <c r="AN340" s="105"/>
      <c r="AO340" s="108"/>
      <c r="AP340" s="108"/>
      <c r="AQ340" s="108"/>
      <c r="AR340" s="101">
        <f>'Basic Data'!$B$98/1000</f>
        <v>8.0208999999999993</v>
      </c>
      <c r="AT340" s="7" t="str">
        <f>IFERROR(_xlfn.XLOOKUP(Table13[[#This Row],[Date]],'Raw Data'!$G:$G,'Raw Data'!$AN:$AN),"")</f>
        <v/>
      </c>
      <c r="AU340" s="7">
        <f>IFERROR(_xlfn.XLOOKUP(Table13[[#This Row],[Month Year]],'Modelling New'!$D:$D,'Modelling New'!$AO:$AO),"")</f>
        <v>8</v>
      </c>
      <c r="AV340" s="7">
        <f>SUMIF('Curtailment Records'!$C:$C,Table13[[#This Row],[Date]],'Curtailment Records'!$R:$R)/1000</f>
        <v>0</v>
      </c>
    </row>
    <row r="341" spans="1:48" x14ac:dyDescent="0.3">
      <c r="A341" s="100">
        <f t="shared" si="23"/>
        <v>46084</v>
      </c>
      <c r="B341" s="101">
        <f>YEAR(Table13[[#This Row],[Date]])+IF(MONTH(Table13[[#This Row],[Date]])&gt;=4,1,0)</f>
        <v>2026</v>
      </c>
      <c r="C341" s="7">
        <f>YEAR(Table13[[#This Row],[Date]])</f>
        <v>2026</v>
      </c>
      <c r="D341" s="102">
        <f>Table13[[#This Row],[Date]]-DAY(Table13[[#This Row],[Date]])+1</f>
        <v>46082</v>
      </c>
      <c r="E341" s="7">
        <f t="shared" si="20"/>
        <v>31</v>
      </c>
      <c r="F341" s="103" t="str">
        <f>IFERROR(_xlfn.XLOOKUP($A341,'Raw Data'!$G:$G,'Raw Data'!$AM:$AM),"")</f>
        <v/>
      </c>
      <c r="G341" s="104" t="str">
        <f>IFERROR(_xlfn.XLOOKUP($A341,'Raw Data'!$G:$G,'Raw Data'!$AB:$AB),"")</f>
        <v/>
      </c>
      <c r="H341" s="104"/>
      <c r="I341" s="104" t="str">
        <f>IFERROR(_xlfn.XLOOKUP($A341,'Raw Data'!$G:$G,'Raw Data'!$AC:$AC),"")</f>
        <v/>
      </c>
      <c r="J341" s="104"/>
      <c r="K341" s="104" t="str">
        <f>IFERROR(_xlfn.XLOOKUP($A341,'Raw Data'!$G:$G,'Raw Data'!AD:AD),"")</f>
        <v/>
      </c>
      <c r="L341" s="104" t="str">
        <f>IFERROR(_xlfn.XLOOKUP($A341,'Raw Data'!$G:$G,'Raw Data'!AE:AE),"")</f>
        <v/>
      </c>
      <c r="M341" s="104" t="str">
        <f>IFERROR(_xlfn.XLOOKUP($A341,'Raw Data'!$G:$G,'Raw Data'!AF:AF),"")</f>
        <v/>
      </c>
      <c r="N341" s="104" t="str">
        <f>IFERROR(_xlfn.XLOOKUP($A341,'Raw Data'!$G:$G,'Raw Data'!AG:AG),"")</f>
        <v/>
      </c>
      <c r="O341" s="105" t="str">
        <f>IFERROR(1-SUMIF('Plant BD'!$B:$B,$A341,'Plant BD'!$AM:$AM)/($AA341+SUMIF('Plant BD'!$B:$B,$A341,'Plant BD'!$AM:$AM)),"")</f>
        <v/>
      </c>
      <c r="P341" s="105"/>
      <c r="Q341" s="106"/>
      <c r="R341" s="105" t="str">
        <f>IFERROR(1-SUMIF('Grid BD'!$B:$B,$A341,'Grid BD'!$AE:$AE)/($AA341+SUMIF('Grid BD'!$B:$B,$A341,'Grid BD'!$AE:$AE)),"")</f>
        <v/>
      </c>
      <c r="T341" s="106"/>
      <c r="U341" s="107" t="str">
        <f t="shared" si="21"/>
        <v/>
      </c>
      <c r="V341" s="107"/>
      <c r="W341" s="108" t="str">
        <f t="shared" si="22"/>
        <v/>
      </c>
      <c r="X341" s="101" t="str">
        <f>IFERROR(_xlfn.XLOOKUP($A341,'Raw Data'!$G:$G,'Raw Data'!AI:AI),"")</f>
        <v/>
      </c>
      <c r="Y341" s="101" t="str">
        <f>IFERROR(_xlfn.XLOOKUP($A341,'Raw Data'!$G:$G,'Raw Data'!AJ:AJ),"")</f>
        <v/>
      </c>
      <c r="Z341" s="101" t="str">
        <f>IFERROR(_xlfn.XLOOKUP($A341,'Raw Data'!$G:$G,'Raw Data'!AK:AK),"")</f>
        <v/>
      </c>
      <c r="AA341" s="101" t="str">
        <f>IFERROR(_xlfn.XLOOKUP($A341,'Raw Data'!$G:$G,'Raw Data'!$AL:$AL)*(1+(_xlfn.XLOOKUP(Table13[[#This Row],[Month Year]],JMR!$A:$A,JMR!$J:$J))),"")</f>
        <v/>
      </c>
      <c r="AB341" s="101" t="str">
        <f>IFERROR(_xlfn.XLOOKUP($A341,'Raw Data'!$G:$G,'Raw Data'!H:H),"")</f>
        <v/>
      </c>
      <c r="AC341" s="67">
        <f>IFERROR(_xlfn.XLOOKUP($D341,'Modelling New'!$D:$D,'Modelling New'!P:P),"")</f>
        <v>6.7870967741935484</v>
      </c>
      <c r="AD341" s="101">
        <f>IFERROR(_xlfn.XLOOKUP($D341,'Modelling New'!$D:$D,'Modelling New'!$T:$T)*1000,"")</f>
        <v>38219.028541703687</v>
      </c>
      <c r="AE341" s="109">
        <f>IFERROR(_xlfn.XLOOKUP($D341,'Modelling New'!$D:$D,'Modelling New'!O:O),"")</f>
        <v>0.70205720444645292</v>
      </c>
      <c r="AF341" s="108">
        <f>IFERROR(_xlfn.XLOOKUP($D341,'Modelling New'!$D:$D,'Modelling New'!W:W),"")</f>
        <v>0.19853875781657757</v>
      </c>
      <c r="AG341" s="108">
        <f>IFERROR(_xlfn.XLOOKUP($D341,'Modelling New'!$D:$D,'Modelling New'!AE:AE),"")</f>
        <v>0.98040000000000005</v>
      </c>
      <c r="AH341" s="128">
        <f>IFERROR(_xlfn.XLOOKUP($D341,'Modelling New'!$D:$D,'Modelling New'!AF:AF),"")</f>
        <v>0.98</v>
      </c>
      <c r="AN341" s="105"/>
      <c r="AO341" s="108"/>
      <c r="AP341" s="108"/>
      <c r="AQ341" s="108"/>
      <c r="AR341" s="101">
        <f>'Basic Data'!$B$98/1000</f>
        <v>8.0208999999999993</v>
      </c>
      <c r="AT341" s="7" t="str">
        <f>IFERROR(_xlfn.XLOOKUP(Table13[[#This Row],[Date]],'Raw Data'!$G:$G,'Raw Data'!$AN:$AN),"")</f>
        <v/>
      </c>
      <c r="AU341" s="7">
        <f>IFERROR(_xlfn.XLOOKUP(Table13[[#This Row],[Month Year]],'Modelling New'!$D:$D,'Modelling New'!$AO:$AO),"")</f>
        <v>8</v>
      </c>
      <c r="AV341" s="7">
        <f>SUMIF('Curtailment Records'!$C:$C,Table13[[#This Row],[Date]],'Curtailment Records'!$R:$R)/1000</f>
        <v>0</v>
      </c>
    </row>
    <row r="342" spans="1:48" x14ac:dyDescent="0.3">
      <c r="A342" s="100">
        <f t="shared" si="23"/>
        <v>46085</v>
      </c>
      <c r="B342" s="101">
        <f>YEAR(Table13[[#This Row],[Date]])+IF(MONTH(Table13[[#This Row],[Date]])&gt;=4,1,0)</f>
        <v>2026</v>
      </c>
      <c r="C342" s="7">
        <f>YEAR(Table13[[#This Row],[Date]])</f>
        <v>2026</v>
      </c>
      <c r="D342" s="102">
        <f>Table13[[#This Row],[Date]]-DAY(Table13[[#This Row],[Date]])+1</f>
        <v>46082</v>
      </c>
      <c r="E342" s="7">
        <f t="shared" si="20"/>
        <v>31</v>
      </c>
      <c r="F342" s="103" t="str">
        <f>IFERROR(_xlfn.XLOOKUP($A342,'Raw Data'!$G:$G,'Raw Data'!$AM:$AM),"")</f>
        <v/>
      </c>
      <c r="G342" s="104" t="str">
        <f>IFERROR(_xlfn.XLOOKUP($A342,'Raw Data'!$G:$G,'Raw Data'!$AB:$AB),"")</f>
        <v/>
      </c>
      <c r="H342" s="104"/>
      <c r="I342" s="104" t="str">
        <f>IFERROR(_xlfn.XLOOKUP($A342,'Raw Data'!$G:$G,'Raw Data'!$AC:$AC),"")</f>
        <v/>
      </c>
      <c r="J342" s="104"/>
      <c r="K342" s="104" t="str">
        <f>IFERROR(_xlfn.XLOOKUP($A342,'Raw Data'!$G:$G,'Raw Data'!AD:AD),"")</f>
        <v/>
      </c>
      <c r="L342" s="104" t="str">
        <f>IFERROR(_xlfn.XLOOKUP($A342,'Raw Data'!$G:$G,'Raw Data'!AE:AE),"")</f>
        <v/>
      </c>
      <c r="M342" s="104" t="str">
        <f>IFERROR(_xlfn.XLOOKUP($A342,'Raw Data'!$G:$G,'Raw Data'!AF:AF),"")</f>
        <v/>
      </c>
      <c r="N342" s="104" t="str">
        <f>IFERROR(_xlfn.XLOOKUP($A342,'Raw Data'!$G:$G,'Raw Data'!AG:AG),"")</f>
        <v/>
      </c>
      <c r="O342" s="105" t="str">
        <f>IFERROR(1-SUMIF('Plant BD'!$B:$B,$A342,'Plant BD'!$AM:$AM)/($AA342+SUMIF('Plant BD'!$B:$B,$A342,'Plant BD'!$AM:$AM)),"")</f>
        <v/>
      </c>
      <c r="P342" s="105"/>
      <c r="Q342" s="106"/>
      <c r="R342" s="105" t="str">
        <f>IFERROR(1-SUMIF('Grid BD'!$B:$B,$A342,'Grid BD'!$AE:$AE)/($AA342+SUMIF('Grid BD'!$B:$B,$A342,'Grid BD'!$AE:$AE)),"")</f>
        <v/>
      </c>
      <c r="T342" s="106"/>
      <c r="U342" s="107" t="str">
        <f t="shared" si="21"/>
        <v/>
      </c>
      <c r="V342" s="107"/>
      <c r="W342" s="108" t="str">
        <f t="shared" si="22"/>
        <v/>
      </c>
      <c r="X342" s="101" t="str">
        <f>IFERROR(_xlfn.XLOOKUP($A342,'Raw Data'!$G:$G,'Raw Data'!AI:AI),"")</f>
        <v/>
      </c>
      <c r="Y342" s="101" t="str">
        <f>IFERROR(_xlfn.XLOOKUP($A342,'Raw Data'!$G:$G,'Raw Data'!AJ:AJ),"")</f>
        <v/>
      </c>
      <c r="Z342" s="101" t="str">
        <f>IFERROR(_xlfn.XLOOKUP($A342,'Raw Data'!$G:$G,'Raw Data'!AK:AK),"")</f>
        <v/>
      </c>
      <c r="AA342" s="101" t="str">
        <f>IFERROR(_xlfn.XLOOKUP($A342,'Raw Data'!$G:$G,'Raw Data'!$AL:$AL)*(1+(_xlfn.XLOOKUP(Table13[[#This Row],[Month Year]],JMR!$A:$A,JMR!$J:$J))),"")</f>
        <v/>
      </c>
      <c r="AB342" s="101" t="str">
        <f>IFERROR(_xlfn.XLOOKUP($A342,'Raw Data'!$G:$G,'Raw Data'!H:H),"")</f>
        <v/>
      </c>
      <c r="AC342" s="67">
        <f>IFERROR(_xlfn.XLOOKUP($D342,'Modelling New'!$D:$D,'Modelling New'!P:P),"")</f>
        <v>6.7870967741935484</v>
      </c>
      <c r="AD342" s="101">
        <f>IFERROR(_xlfn.XLOOKUP($D342,'Modelling New'!$D:$D,'Modelling New'!$T:$T)*1000,"")</f>
        <v>38219.028541703687</v>
      </c>
      <c r="AE342" s="109">
        <f>IFERROR(_xlfn.XLOOKUP($D342,'Modelling New'!$D:$D,'Modelling New'!O:O),"")</f>
        <v>0.70205720444645292</v>
      </c>
      <c r="AF342" s="108">
        <f>IFERROR(_xlfn.XLOOKUP($D342,'Modelling New'!$D:$D,'Modelling New'!W:W),"")</f>
        <v>0.19853875781657757</v>
      </c>
      <c r="AG342" s="108">
        <f>IFERROR(_xlfn.XLOOKUP($D342,'Modelling New'!$D:$D,'Modelling New'!AE:AE),"")</f>
        <v>0.98040000000000005</v>
      </c>
      <c r="AH342" s="128">
        <f>IFERROR(_xlfn.XLOOKUP($D342,'Modelling New'!$D:$D,'Modelling New'!AF:AF),"")</f>
        <v>0.98</v>
      </c>
      <c r="AN342" s="105"/>
      <c r="AO342" s="108"/>
      <c r="AP342" s="108"/>
      <c r="AQ342" s="108"/>
      <c r="AR342" s="101">
        <f>'Basic Data'!$B$98/1000</f>
        <v>8.0208999999999993</v>
      </c>
      <c r="AT342" s="7" t="str">
        <f>IFERROR(_xlfn.XLOOKUP(Table13[[#This Row],[Date]],'Raw Data'!$G:$G,'Raw Data'!$AN:$AN),"")</f>
        <v/>
      </c>
      <c r="AU342" s="7">
        <f>IFERROR(_xlfn.XLOOKUP(Table13[[#This Row],[Month Year]],'Modelling New'!$D:$D,'Modelling New'!$AO:$AO),"")</f>
        <v>8</v>
      </c>
      <c r="AV342" s="7">
        <f>SUMIF('Curtailment Records'!$C:$C,Table13[[#This Row],[Date]],'Curtailment Records'!$R:$R)/1000</f>
        <v>0</v>
      </c>
    </row>
    <row r="343" spans="1:48" x14ac:dyDescent="0.3">
      <c r="A343" s="100">
        <f t="shared" si="23"/>
        <v>46086</v>
      </c>
      <c r="B343" s="101">
        <f>YEAR(Table13[[#This Row],[Date]])+IF(MONTH(Table13[[#This Row],[Date]])&gt;=4,1,0)</f>
        <v>2026</v>
      </c>
      <c r="C343" s="7">
        <f>YEAR(Table13[[#This Row],[Date]])</f>
        <v>2026</v>
      </c>
      <c r="D343" s="102">
        <f>Table13[[#This Row],[Date]]-DAY(Table13[[#This Row],[Date]])+1</f>
        <v>46082</v>
      </c>
      <c r="E343" s="7">
        <f t="shared" si="20"/>
        <v>31</v>
      </c>
      <c r="F343" s="103" t="str">
        <f>IFERROR(_xlfn.XLOOKUP($A343,'Raw Data'!$G:$G,'Raw Data'!$AM:$AM),"")</f>
        <v/>
      </c>
      <c r="G343" s="104" t="str">
        <f>IFERROR(_xlfn.XLOOKUP($A343,'Raw Data'!$G:$G,'Raw Data'!$AB:$AB),"")</f>
        <v/>
      </c>
      <c r="H343" s="104"/>
      <c r="I343" s="104" t="str">
        <f>IFERROR(_xlfn.XLOOKUP($A343,'Raw Data'!$G:$G,'Raw Data'!$AC:$AC),"")</f>
        <v/>
      </c>
      <c r="J343" s="104"/>
      <c r="K343" s="104" t="str">
        <f>IFERROR(_xlfn.XLOOKUP($A343,'Raw Data'!$G:$G,'Raw Data'!AD:AD),"")</f>
        <v/>
      </c>
      <c r="L343" s="104" t="str">
        <f>IFERROR(_xlfn.XLOOKUP($A343,'Raw Data'!$G:$G,'Raw Data'!AE:AE),"")</f>
        <v/>
      </c>
      <c r="M343" s="104" t="str">
        <f>IFERROR(_xlfn.XLOOKUP($A343,'Raw Data'!$G:$G,'Raw Data'!AF:AF),"")</f>
        <v/>
      </c>
      <c r="N343" s="104" t="str">
        <f>IFERROR(_xlfn.XLOOKUP($A343,'Raw Data'!$G:$G,'Raw Data'!AG:AG),"")</f>
        <v/>
      </c>
      <c r="O343" s="105" t="str">
        <f>IFERROR(1-SUMIF('Plant BD'!$B:$B,$A343,'Plant BD'!$AM:$AM)/($AA343+SUMIF('Plant BD'!$B:$B,$A343,'Plant BD'!$AM:$AM)),"")</f>
        <v/>
      </c>
      <c r="P343" s="105"/>
      <c r="Q343" s="106"/>
      <c r="R343" s="105" t="str">
        <f>IFERROR(1-SUMIF('Grid BD'!$B:$B,$A343,'Grid BD'!$AE:$AE)/($AA343+SUMIF('Grid BD'!$B:$B,$A343,'Grid BD'!$AE:$AE)),"")</f>
        <v/>
      </c>
      <c r="T343" s="106"/>
      <c r="U343" s="107" t="str">
        <f t="shared" si="21"/>
        <v/>
      </c>
      <c r="V343" s="107"/>
      <c r="W343" s="108" t="str">
        <f t="shared" si="22"/>
        <v/>
      </c>
      <c r="X343" s="101" t="str">
        <f>IFERROR(_xlfn.XLOOKUP($A343,'Raw Data'!$G:$G,'Raw Data'!AI:AI),"")</f>
        <v/>
      </c>
      <c r="Y343" s="101" t="str">
        <f>IFERROR(_xlfn.XLOOKUP($A343,'Raw Data'!$G:$G,'Raw Data'!AJ:AJ),"")</f>
        <v/>
      </c>
      <c r="Z343" s="101" t="str">
        <f>IFERROR(_xlfn.XLOOKUP($A343,'Raw Data'!$G:$G,'Raw Data'!AK:AK),"")</f>
        <v/>
      </c>
      <c r="AA343" s="101" t="str">
        <f>IFERROR(_xlfn.XLOOKUP($A343,'Raw Data'!$G:$G,'Raw Data'!$AL:$AL)*(1+(_xlfn.XLOOKUP(Table13[[#This Row],[Month Year]],JMR!$A:$A,JMR!$J:$J))),"")</f>
        <v/>
      </c>
      <c r="AB343" s="101" t="str">
        <f>IFERROR(_xlfn.XLOOKUP($A343,'Raw Data'!$G:$G,'Raw Data'!H:H),"")</f>
        <v/>
      </c>
      <c r="AC343" s="67">
        <f>IFERROR(_xlfn.XLOOKUP($D343,'Modelling New'!$D:$D,'Modelling New'!P:P),"")</f>
        <v>6.7870967741935484</v>
      </c>
      <c r="AD343" s="101">
        <f>IFERROR(_xlfn.XLOOKUP($D343,'Modelling New'!$D:$D,'Modelling New'!$T:$T)*1000,"")</f>
        <v>38219.028541703687</v>
      </c>
      <c r="AE343" s="109">
        <f>IFERROR(_xlfn.XLOOKUP($D343,'Modelling New'!$D:$D,'Modelling New'!O:O),"")</f>
        <v>0.70205720444645292</v>
      </c>
      <c r="AF343" s="108">
        <f>IFERROR(_xlfn.XLOOKUP($D343,'Modelling New'!$D:$D,'Modelling New'!W:W),"")</f>
        <v>0.19853875781657757</v>
      </c>
      <c r="AG343" s="108">
        <f>IFERROR(_xlfn.XLOOKUP($D343,'Modelling New'!$D:$D,'Modelling New'!AE:AE),"")</f>
        <v>0.98040000000000005</v>
      </c>
      <c r="AH343" s="128">
        <f>IFERROR(_xlfn.XLOOKUP($D343,'Modelling New'!$D:$D,'Modelling New'!AF:AF),"")</f>
        <v>0.98</v>
      </c>
      <c r="AN343" s="105"/>
      <c r="AO343" s="108"/>
      <c r="AP343" s="108"/>
      <c r="AQ343" s="108"/>
      <c r="AR343" s="101">
        <f>'Basic Data'!$B$98/1000</f>
        <v>8.0208999999999993</v>
      </c>
      <c r="AT343" s="7" t="str">
        <f>IFERROR(_xlfn.XLOOKUP(Table13[[#This Row],[Date]],'Raw Data'!$G:$G,'Raw Data'!$AN:$AN),"")</f>
        <v/>
      </c>
      <c r="AU343" s="7">
        <f>IFERROR(_xlfn.XLOOKUP(Table13[[#This Row],[Month Year]],'Modelling New'!$D:$D,'Modelling New'!$AO:$AO),"")</f>
        <v>8</v>
      </c>
      <c r="AV343" s="7">
        <f>SUMIF('Curtailment Records'!$C:$C,Table13[[#This Row],[Date]],'Curtailment Records'!$R:$R)/1000</f>
        <v>0</v>
      </c>
    </row>
    <row r="344" spans="1:48" x14ac:dyDescent="0.3">
      <c r="A344" s="100">
        <f t="shared" si="23"/>
        <v>46087</v>
      </c>
      <c r="B344" s="101">
        <f>YEAR(Table13[[#This Row],[Date]])+IF(MONTH(Table13[[#This Row],[Date]])&gt;=4,1,0)</f>
        <v>2026</v>
      </c>
      <c r="C344" s="7">
        <f>YEAR(Table13[[#This Row],[Date]])</f>
        <v>2026</v>
      </c>
      <c r="D344" s="102">
        <f>Table13[[#This Row],[Date]]-DAY(Table13[[#This Row],[Date]])+1</f>
        <v>46082</v>
      </c>
      <c r="E344" s="7">
        <f t="shared" si="20"/>
        <v>31</v>
      </c>
      <c r="F344" s="103" t="str">
        <f>IFERROR(_xlfn.XLOOKUP($A344,'Raw Data'!$G:$G,'Raw Data'!$AM:$AM),"")</f>
        <v/>
      </c>
      <c r="G344" s="104" t="str">
        <f>IFERROR(_xlfn.XLOOKUP($A344,'Raw Data'!$G:$G,'Raw Data'!$AB:$AB),"")</f>
        <v/>
      </c>
      <c r="H344" s="104"/>
      <c r="I344" s="104" t="str">
        <f>IFERROR(_xlfn.XLOOKUP($A344,'Raw Data'!$G:$G,'Raw Data'!$AC:$AC),"")</f>
        <v/>
      </c>
      <c r="J344" s="104"/>
      <c r="K344" s="104" t="str">
        <f>IFERROR(_xlfn.XLOOKUP($A344,'Raw Data'!$G:$G,'Raw Data'!AD:AD),"")</f>
        <v/>
      </c>
      <c r="L344" s="104" t="str">
        <f>IFERROR(_xlfn.XLOOKUP($A344,'Raw Data'!$G:$G,'Raw Data'!AE:AE),"")</f>
        <v/>
      </c>
      <c r="M344" s="104" t="str">
        <f>IFERROR(_xlfn.XLOOKUP($A344,'Raw Data'!$G:$G,'Raw Data'!AF:AF),"")</f>
        <v/>
      </c>
      <c r="N344" s="104" t="str">
        <f>IFERROR(_xlfn.XLOOKUP($A344,'Raw Data'!$G:$G,'Raw Data'!AG:AG),"")</f>
        <v/>
      </c>
      <c r="O344" s="105" t="str">
        <f>IFERROR(1-SUMIF('Plant BD'!$B:$B,$A344,'Plant BD'!$AM:$AM)/($AA344+SUMIF('Plant BD'!$B:$B,$A344,'Plant BD'!$AM:$AM)),"")</f>
        <v/>
      </c>
      <c r="P344" s="105"/>
      <c r="Q344" s="106"/>
      <c r="R344" s="105" t="str">
        <f>IFERROR(1-SUMIF('Grid BD'!$B:$B,$A344,'Grid BD'!$AE:$AE)/($AA344+SUMIF('Grid BD'!$B:$B,$A344,'Grid BD'!$AE:$AE)),"")</f>
        <v/>
      </c>
      <c r="T344" s="106"/>
      <c r="U344" s="107" t="str">
        <f t="shared" si="21"/>
        <v/>
      </c>
      <c r="V344" s="107"/>
      <c r="W344" s="108" t="str">
        <f t="shared" si="22"/>
        <v/>
      </c>
      <c r="X344" s="101" t="str">
        <f>IFERROR(_xlfn.XLOOKUP($A344,'Raw Data'!$G:$G,'Raw Data'!AI:AI),"")</f>
        <v/>
      </c>
      <c r="Y344" s="101" t="str">
        <f>IFERROR(_xlfn.XLOOKUP($A344,'Raw Data'!$G:$G,'Raw Data'!AJ:AJ),"")</f>
        <v/>
      </c>
      <c r="Z344" s="101" t="str">
        <f>IFERROR(_xlfn.XLOOKUP($A344,'Raw Data'!$G:$G,'Raw Data'!AK:AK),"")</f>
        <v/>
      </c>
      <c r="AA344" s="101" t="str">
        <f>IFERROR(_xlfn.XLOOKUP($A344,'Raw Data'!$G:$G,'Raw Data'!$AL:$AL)*(1+(_xlfn.XLOOKUP(Table13[[#This Row],[Month Year]],JMR!$A:$A,JMR!$J:$J))),"")</f>
        <v/>
      </c>
      <c r="AB344" s="101" t="str">
        <f>IFERROR(_xlfn.XLOOKUP($A344,'Raw Data'!$G:$G,'Raw Data'!H:H),"")</f>
        <v/>
      </c>
      <c r="AC344" s="67">
        <f>IFERROR(_xlfn.XLOOKUP($D344,'Modelling New'!$D:$D,'Modelling New'!P:P),"")</f>
        <v>6.7870967741935484</v>
      </c>
      <c r="AD344" s="101">
        <f>IFERROR(_xlfn.XLOOKUP($D344,'Modelling New'!$D:$D,'Modelling New'!$T:$T)*1000,"")</f>
        <v>38219.028541703687</v>
      </c>
      <c r="AE344" s="109">
        <f>IFERROR(_xlfn.XLOOKUP($D344,'Modelling New'!$D:$D,'Modelling New'!O:O),"")</f>
        <v>0.70205720444645292</v>
      </c>
      <c r="AF344" s="108">
        <f>IFERROR(_xlfn.XLOOKUP($D344,'Modelling New'!$D:$D,'Modelling New'!W:W),"")</f>
        <v>0.19853875781657757</v>
      </c>
      <c r="AG344" s="108">
        <f>IFERROR(_xlfn.XLOOKUP($D344,'Modelling New'!$D:$D,'Modelling New'!AE:AE),"")</f>
        <v>0.98040000000000005</v>
      </c>
      <c r="AH344" s="128">
        <f>IFERROR(_xlfn.XLOOKUP($D344,'Modelling New'!$D:$D,'Modelling New'!AF:AF),"")</f>
        <v>0.98</v>
      </c>
      <c r="AN344" s="105"/>
      <c r="AO344" s="108"/>
      <c r="AP344" s="108"/>
      <c r="AQ344" s="108"/>
      <c r="AR344" s="101">
        <f>'Basic Data'!$B$98/1000</f>
        <v>8.0208999999999993</v>
      </c>
      <c r="AT344" s="7" t="str">
        <f>IFERROR(_xlfn.XLOOKUP(Table13[[#This Row],[Date]],'Raw Data'!$G:$G,'Raw Data'!$AN:$AN),"")</f>
        <v/>
      </c>
      <c r="AU344" s="7">
        <f>IFERROR(_xlfn.XLOOKUP(Table13[[#This Row],[Month Year]],'Modelling New'!$D:$D,'Modelling New'!$AO:$AO),"")</f>
        <v>8</v>
      </c>
      <c r="AV344" s="7">
        <f>SUMIF('Curtailment Records'!$C:$C,Table13[[#This Row],[Date]],'Curtailment Records'!$R:$R)/1000</f>
        <v>0</v>
      </c>
    </row>
    <row r="345" spans="1:48" x14ac:dyDescent="0.3">
      <c r="A345" s="100">
        <f t="shared" si="23"/>
        <v>46088</v>
      </c>
      <c r="B345" s="101">
        <f>YEAR(Table13[[#This Row],[Date]])+IF(MONTH(Table13[[#This Row],[Date]])&gt;=4,1,0)</f>
        <v>2026</v>
      </c>
      <c r="C345" s="7">
        <f>YEAR(Table13[[#This Row],[Date]])</f>
        <v>2026</v>
      </c>
      <c r="D345" s="102">
        <f>Table13[[#This Row],[Date]]-DAY(Table13[[#This Row],[Date]])+1</f>
        <v>46082</v>
      </c>
      <c r="E345" s="7">
        <f t="shared" si="20"/>
        <v>31</v>
      </c>
      <c r="F345" s="103" t="str">
        <f>IFERROR(_xlfn.XLOOKUP($A345,'Raw Data'!$G:$G,'Raw Data'!$AM:$AM),"")</f>
        <v/>
      </c>
      <c r="G345" s="104" t="str">
        <f>IFERROR(_xlfn.XLOOKUP($A345,'Raw Data'!$G:$G,'Raw Data'!$AB:$AB),"")</f>
        <v/>
      </c>
      <c r="H345" s="104"/>
      <c r="I345" s="104" t="str">
        <f>IFERROR(_xlfn.XLOOKUP($A345,'Raw Data'!$G:$G,'Raw Data'!$AC:$AC),"")</f>
        <v/>
      </c>
      <c r="J345" s="104"/>
      <c r="K345" s="104" t="str">
        <f>IFERROR(_xlfn.XLOOKUP($A345,'Raw Data'!$G:$G,'Raw Data'!AD:AD),"")</f>
        <v/>
      </c>
      <c r="L345" s="104" t="str">
        <f>IFERROR(_xlfn.XLOOKUP($A345,'Raw Data'!$G:$G,'Raw Data'!AE:AE),"")</f>
        <v/>
      </c>
      <c r="M345" s="104" t="str">
        <f>IFERROR(_xlfn.XLOOKUP($A345,'Raw Data'!$G:$G,'Raw Data'!AF:AF),"")</f>
        <v/>
      </c>
      <c r="N345" s="104" t="str">
        <f>IFERROR(_xlfn.XLOOKUP($A345,'Raw Data'!$G:$G,'Raw Data'!AG:AG),"")</f>
        <v/>
      </c>
      <c r="O345" s="105" t="str">
        <f>IFERROR(1-SUMIF('Plant BD'!$B:$B,$A345,'Plant BD'!$AM:$AM)/($AA345+SUMIF('Plant BD'!$B:$B,$A345,'Plant BD'!$AM:$AM)),"")</f>
        <v/>
      </c>
      <c r="P345" s="105"/>
      <c r="Q345" s="106"/>
      <c r="R345" s="105" t="str">
        <f>IFERROR(1-SUMIF('Grid BD'!$B:$B,$A345,'Grid BD'!$AE:$AE)/($AA345+SUMIF('Grid BD'!$B:$B,$A345,'Grid BD'!$AE:$AE)),"")</f>
        <v/>
      </c>
      <c r="T345" s="106"/>
      <c r="U345" s="107" t="str">
        <f t="shared" si="21"/>
        <v/>
      </c>
      <c r="V345" s="107"/>
      <c r="W345" s="108" t="str">
        <f t="shared" si="22"/>
        <v/>
      </c>
      <c r="X345" s="101" t="str">
        <f>IFERROR(_xlfn.XLOOKUP($A345,'Raw Data'!$G:$G,'Raw Data'!AI:AI),"")</f>
        <v/>
      </c>
      <c r="Y345" s="101" t="str">
        <f>IFERROR(_xlfn.XLOOKUP($A345,'Raw Data'!$G:$G,'Raw Data'!AJ:AJ),"")</f>
        <v/>
      </c>
      <c r="Z345" s="101" t="str">
        <f>IFERROR(_xlfn.XLOOKUP($A345,'Raw Data'!$G:$G,'Raw Data'!AK:AK),"")</f>
        <v/>
      </c>
      <c r="AA345" s="101" t="str">
        <f>IFERROR(_xlfn.XLOOKUP($A345,'Raw Data'!$G:$G,'Raw Data'!$AL:$AL)*(1+(_xlfn.XLOOKUP(Table13[[#This Row],[Month Year]],JMR!$A:$A,JMR!$J:$J))),"")</f>
        <v/>
      </c>
      <c r="AB345" s="101" t="str">
        <f>IFERROR(_xlfn.XLOOKUP($A345,'Raw Data'!$G:$G,'Raw Data'!H:H),"")</f>
        <v/>
      </c>
      <c r="AC345" s="67">
        <f>IFERROR(_xlfn.XLOOKUP($D345,'Modelling New'!$D:$D,'Modelling New'!P:P),"")</f>
        <v>6.7870967741935484</v>
      </c>
      <c r="AD345" s="101">
        <f>IFERROR(_xlfn.XLOOKUP($D345,'Modelling New'!$D:$D,'Modelling New'!$T:$T)*1000,"")</f>
        <v>38219.028541703687</v>
      </c>
      <c r="AE345" s="109">
        <f>IFERROR(_xlfn.XLOOKUP($D345,'Modelling New'!$D:$D,'Modelling New'!O:O),"")</f>
        <v>0.70205720444645292</v>
      </c>
      <c r="AF345" s="108">
        <f>IFERROR(_xlfn.XLOOKUP($D345,'Modelling New'!$D:$D,'Modelling New'!W:W),"")</f>
        <v>0.19853875781657757</v>
      </c>
      <c r="AG345" s="108">
        <f>IFERROR(_xlfn.XLOOKUP($D345,'Modelling New'!$D:$D,'Modelling New'!AE:AE),"")</f>
        <v>0.98040000000000005</v>
      </c>
      <c r="AH345" s="128">
        <f>IFERROR(_xlfn.XLOOKUP($D345,'Modelling New'!$D:$D,'Modelling New'!AF:AF),"")</f>
        <v>0.98</v>
      </c>
      <c r="AN345" s="105"/>
      <c r="AO345" s="108"/>
      <c r="AP345" s="108"/>
      <c r="AQ345" s="108"/>
      <c r="AR345" s="101">
        <f>'Basic Data'!$B$98/1000</f>
        <v>8.0208999999999993</v>
      </c>
      <c r="AT345" s="7" t="str">
        <f>IFERROR(_xlfn.XLOOKUP(Table13[[#This Row],[Date]],'Raw Data'!$G:$G,'Raw Data'!$AN:$AN),"")</f>
        <v/>
      </c>
      <c r="AU345" s="7">
        <f>IFERROR(_xlfn.XLOOKUP(Table13[[#This Row],[Month Year]],'Modelling New'!$D:$D,'Modelling New'!$AO:$AO),"")</f>
        <v>8</v>
      </c>
      <c r="AV345" s="7">
        <f>SUMIF('Curtailment Records'!$C:$C,Table13[[#This Row],[Date]],'Curtailment Records'!$R:$R)/1000</f>
        <v>0</v>
      </c>
    </row>
    <row r="346" spans="1:48" x14ac:dyDescent="0.3">
      <c r="A346" s="100">
        <f t="shared" si="23"/>
        <v>46089</v>
      </c>
      <c r="B346" s="101">
        <f>YEAR(Table13[[#This Row],[Date]])+IF(MONTH(Table13[[#This Row],[Date]])&gt;=4,1,0)</f>
        <v>2026</v>
      </c>
      <c r="C346" s="7">
        <f>YEAR(Table13[[#This Row],[Date]])</f>
        <v>2026</v>
      </c>
      <c r="D346" s="102">
        <f>Table13[[#This Row],[Date]]-DAY(Table13[[#This Row],[Date]])+1</f>
        <v>46082</v>
      </c>
      <c r="E346" s="7">
        <f t="shared" si="20"/>
        <v>31</v>
      </c>
      <c r="F346" s="103" t="str">
        <f>IFERROR(_xlfn.XLOOKUP($A346,'Raw Data'!$G:$G,'Raw Data'!$AM:$AM),"")</f>
        <v/>
      </c>
      <c r="G346" s="104" t="str">
        <f>IFERROR(_xlfn.XLOOKUP($A346,'Raw Data'!$G:$G,'Raw Data'!$AB:$AB),"")</f>
        <v/>
      </c>
      <c r="H346" s="104"/>
      <c r="I346" s="104" t="str">
        <f>IFERROR(_xlfn.XLOOKUP($A346,'Raw Data'!$G:$G,'Raw Data'!$AC:$AC),"")</f>
        <v/>
      </c>
      <c r="J346" s="104"/>
      <c r="K346" s="104" t="str">
        <f>IFERROR(_xlfn.XLOOKUP($A346,'Raw Data'!$G:$G,'Raw Data'!AD:AD),"")</f>
        <v/>
      </c>
      <c r="L346" s="104" t="str">
        <f>IFERROR(_xlfn.XLOOKUP($A346,'Raw Data'!$G:$G,'Raw Data'!AE:AE),"")</f>
        <v/>
      </c>
      <c r="M346" s="104" t="str">
        <f>IFERROR(_xlfn.XLOOKUP($A346,'Raw Data'!$G:$G,'Raw Data'!AF:AF),"")</f>
        <v/>
      </c>
      <c r="N346" s="104" t="str">
        <f>IFERROR(_xlfn.XLOOKUP($A346,'Raw Data'!$G:$G,'Raw Data'!AG:AG),"")</f>
        <v/>
      </c>
      <c r="O346" s="105" t="str">
        <f>IFERROR(1-SUMIF('Plant BD'!$B:$B,$A346,'Plant BD'!$AM:$AM)/($AA346+SUMIF('Plant BD'!$B:$B,$A346,'Plant BD'!$AM:$AM)),"")</f>
        <v/>
      </c>
      <c r="P346" s="105"/>
      <c r="Q346" s="106"/>
      <c r="R346" s="105" t="str">
        <f>IFERROR(1-SUMIF('Grid BD'!$B:$B,$A346,'Grid BD'!$AE:$AE)/($AA346+SUMIF('Grid BD'!$B:$B,$A346,'Grid BD'!$AE:$AE)),"")</f>
        <v/>
      </c>
      <c r="T346" s="106"/>
      <c r="U346" s="107" t="str">
        <f t="shared" si="21"/>
        <v/>
      </c>
      <c r="V346" s="107"/>
      <c r="W346" s="108" t="str">
        <f t="shared" si="22"/>
        <v/>
      </c>
      <c r="X346" s="101" t="str">
        <f>IFERROR(_xlfn.XLOOKUP($A346,'Raw Data'!$G:$G,'Raw Data'!AI:AI),"")</f>
        <v/>
      </c>
      <c r="Y346" s="101" t="str">
        <f>IFERROR(_xlfn.XLOOKUP($A346,'Raw Data'!$G:$G,'Raw Data'!AJ:AJ),"")</f>
        <v/>
      </c>
      <c r="Z346" s="101" t="str">
        <f>IFERROR(_xlfn.XLOOKUP($A346,'Raw Data'!$G:$G,'Raw Data'!AK:AK),"")</f>
        <v/>
      </c>
      <c r="AA346" s="101" t="str">
        <f>IFERROR(_xlfn.XLOOKUP($A346,'Raw Data'!$G:$G,'Raw Data'!$AL:$AL)*(1+(_xlfn.XLOOKUP(Table13[[#This Row],[Month Year]],JMR!$A:$A,JMR!$J:$J))),"")</f>
        <v/>
      </c>
      <c r="AB346" s="101" t="str">
        <f>IFERROR(_xlfn.XLOOKUP($A346,'Raw Data'!$G:$G,'Raw Data'!H:H),"")</f>
        <v/>
      </c>
      <c r="AC346" s="67">
        <f>IFERROR(_xlfn.XLOOKUP($D346,'Modelling New'!$D:$D,'Modelling New'!P:P),"")</f>
        <v>6.7870967741935484</v>
      </c>
      <c r="AD346" s="101">
        <f>IFERROR(_xlfn.XLOOKUP($D346,'Modelling New'!$D:$D,'Modelling New'!$T:$T)*1000,"")</f>
        <v>38219.028541703687</v>
      </c>
      <c r="AE346" s="109">
        <f>IFERROR(_xlfn.XLOOKUP($D346,'Modelling New'!$D:$D,'Modelling New'!O:O),"")</f>
        <v>0.70205720444645292</v>
      </c>
      <c r="AF346" s="108">
        <f>IFERROR(_xlfn.XLOOKUP($D346,'Modelling New'!$D:$D,'Modelling New'!W:W),"")</f>
        <v>0.19853875781657757</v>
      </c>
      <c r="AG346" s="108">
        <f>IFERROR(_xlfn.XLOOKUP($D346,'Modelling New'!$D:$D,'Modelling New'!AE:AE),"")</f>
        <v>0.98040000000000005</v>
      </c>
      <c r="AH346" s="128">
        <f>IFERROR(_xlfn.XLOOKUP($D346,'Modelling New'!$D:$D,'Modelling New'!AF:AF),"")</f>
        <v>0.98</v>
      </c>
      <c r="AN346" s="105"/>
      <c r="AO346" s="108"/>
      <c r="AP346" s="108"/>
      <c r="AQ346" s="108"/>
      <c r="AR346" s="101">
        <f>'Basic Data'!$B$98/1000</f>
        <v>8.0208999999999993</v>
      </c>
      <c r="AT346" s="7" t="str">
        <f>IFERROR(_xlfn.XLOOKUP(Table13[[#This Row],[Date]],'Raw Data'!$G:$G,'Raw Data'!$AN:$AN),"")</f>
        <v/>
      </c>
      <c r="AU346" s="7">
        <f>IFERROR(_xlfn.XLOOKUP(Table13[[#This Row],[Month Year]],'Modelling New'!$D:$D,'Modelling New'!$AO:$AO),"")</f>
        <v>8</v>
      </c>
      <c r="AV346" s="7">
        <f>SUMIF('Curtailment Records'!$C:$C,Table13[[#This Row],[Date]],'Curtailment Records'!$R:$R)/1000</f>
        <v>0</v>
      </c>
    </row>
    <row r="347" spans="1:48" x14ac:dyDescent="0.3">
      <c r="A347" s="100">
        <f t="shared" si="23"/>
        <v>46090</v>
      </c>
      <c r="B347" s="101">
        <f>YEAR(Table13[[#This Row],[Date]])+IF(MONTH(Table13[[#This Row],[Date]])&gt;=4,1,0)</f>
        <v>2026</v>
      </c>
      <c r="C347" s="7">
        <f>YEAR(Table13[[#This Row],[Date]])</f>
        <v>2026</v>
      </c>
      <c r="D347" s="102">
        <f>Table13[[#This Row],[Date]]-DAY(Table13[[#This Row],[Date]])+1</f>
        <v>46082</v>
      </c>
      <c r="E347" s="7">
        <f t="shared" si="20"/>
        <v>31</v>
      </c>
      <c r="F347" s="103" t="str">
        <f>IFERROR(_xlfn.XLOOKUP($A347,'Raw Data'!$G:$G,'Raw Data'!$AM:$AM),"")</f>
        <v/>
      </c>
      <c r="G347" s="104" t="str">
        <f>IFERROR(_xlfn.XLOOKUP($A347,'Raw Data'!$G:$G,'Raw Data'!$AB:$AB),"")</f>
        <v/>
      </c>
      <c r="H347" s="104"/>
      <c r="I347" s="104" t="str">
        <f>IFERROR(_xlfn.XLOOKUP($A347,'Raw Data'!$G:$G,'Raw Data'!$AC:$AC),"")</f>
        <v/>
      </c>
      <c r="J347" s="104"/>
      <c r="K347" s="104" t="str">
        <f>IFERROR(_xlfn.XLOOKUP($A347,'Raw Data'!$G:$G,'Raw Data'!AD:AD),"")</f>
        <v/>
      </c>
      <c r="L347" s="104" t="str">
        <f>IFERROR(_xlfn.XLOOKUP($A347,'Raw Data'!$G:$G,'Raw Data'!AE:AE),"")</f>
        <v/>
      </c>
      <c r="M347" s="104" t="str">
        <f>IFERROR(_xlfn.XLOOKUP($A347,'Raw Data'!$G:$G,'Raw Data'!AF:AF),"")</f>
        <v/>
      </c>
      <c r="N347" s="104" t="str">
        <f>IFERROR(_xlfn.XLOOKUP($A347,'Raw Data'!$G:$G,'Raw Data'!AG:AG),"")</f>
        <v/>
      </c>
      <c r="O347" s="105" t="str">
        <f>IFERROR(1-SUMIF('Plant BD'!$B:$B,$A347,'Plant BD'!$AM:$AM)/($AA347+SUMIF('Plant BD'!$B:$B,$A347,'Plant BD'!$AM:$AM)),"")</f>
        <v/>
      </c>
      <c r="P347" s="105"/>
      <c r="Q347" s="106"/>
      <c r="R347" s="105" t="str">
        <f>IFERROR(1-SUMIF('Grid BD'!$B:$B,$A347,'Grid BD'!$AE:$AE)/($AA347+SUMIF('Grid BD'!$B:$B,$A347,'Grid BD'!$AE:$AE)),"")</f>
        <v/>
      </c>
      <c r="T347" s="106"/>
      <c r="U347" s="107" t="str">
        <f t="shared" si="21"/>
        <v/>
      </c>
      <c r="V347" s="107"/>
      <c r="W347" s="108" t="str">
        <f t="shared" si="22"/>
        <v/>
      </c>
      <c r="X347" s="101" t="str">
        <f>IFERROR(_xlfn.XLOOKUP($A347,'Raw Data'!$G:$G,'Raw Data'!AI:AI),"")</f>
        <v/>
      </c>
      <c r="Y347" s="101" t="str">
        <f>IFERROR(_xlfn.XLOOKUP($A347,'Raw Data'!$G:$G,'Raw Data'!AJ:AJ),"")</f>
        <v/>
      </c>
      <c r="Z347" s="101" t="str">
        <f>IFERROR(_xlfn.XLOOKUP($A347,'Raw Data'!$G:$G,'Raw Data'!AK:AK),"")</f>
        <v/>
      </c>
      <c r="AA347" s="101" t="str">
        <f>IFERROR(_xlfn.XLOOKUP($A347,'Raw Data'!$G:$G,'Raw Data'!$AL:$AL)*(1+(_xlfn.XLOOKUP(Table13[[#This Row],[Month Year]],JMR!$A:$A,JMR!$J:$J))),"")</f>
        <v/>
      </c>
      <c r="AB347" s="101" t="str">
        <f>IFERROR(_xlfn.XLOOKUP($A347,'Raw Data'!$G:$G,'Raw Data'!H:H),"")</f>
        <v/>
      </c>
      <c r="AC347" s="67">
        <f>IFERROR(_xlfn.XLOOKUP($D347,'Modelling New'!$D:$D,'Modelling New'!P:P),"")</f>
        <v>6.7870967741935484</v>
      </c>
      <c r="AD347" s="101">
        <f>IFERROR(_xlfn.XLOOKUP($D347,'Modelling New'!$D:$D,'Modelling New'!$T:$T)*1000,"")</f>
        <v>38219.028541703687</v>
      </c>
      <c r="AE347" s="109">
        <f>IFERROR(_xlfn.XLOOKUP($D347,'Modelling New'!$D:$D,'Modelling New'!O:O),"")</f>
        <v>0.70205720444645292</v>
      </c>
      <c r="AF347" s="108">
        <f>IFERROR(_xlfn.XLOOKUP($D347,'Modelling New'!$D:$D,'Modelling New'!W:W),"")</f>
        <v>0.19853875781657757</v>
      </c>
      <c r="AG347" s="108">
        <f>IFERROR(_xlfn.XLOOKUP($D347,'Modelling New'!$D:$D,'Modelling New'!AE:AE),"")</f>
        <v>0.98040000000000005</v>
      </c>
      <c r="AH347" s="128">
        <f>IFERROR(_xlfn.XLOOKUP($D347,'Modelling New'!$D:$D,'Modelling New'!AF:AF),"")</f>
        <v>0.98</v>
      </c>
      <c r="AN347" s="105"/>
      <c r="AO347" s="108"/>
      <c r="AP347" s="108"/>
      <c r="AQ347" s="108"/>
      <c r="AR347" s="101">
        <f>'Basic Data'!$B$98/1000</f>
        <v>8.0208999999999993</v>
      </c>
      <c r="AT347" s="7" t="str">
        <f>IFERROR(_xlfn.XLOOKUP(Table13[[#This Row],[Date]],'Raw Data'!$G:$G,'Raw Data'!$AN:$AN),"")</f>
        <v/>
      </c>
      <c r="AU347" s="7">
        <f>IFERROR(_xlfn.XLOOKUP(Table13[[#This Row],[Month Year]],'Modelling New'!$D:$D,'Modelling New'!$AO:$AO),"")</f>
        <v>8</v>
      </c>
      <c r="AV347" s="7">
        <f>SUMIF('Curtailment Records'!$C:$C,Table13[[#This Row],[Date]],'Curtailment Records'!$R:$R)/1000</f>
        <v>0</v>
      </c>
    </row>
    <row r="348" spans="1:48" x14ac:dyDescent="0.3">
      <c r="A348" s="100">
        <f t="shared" si="23"/>
        <v>46091</v>
      </c>
      <c r="B348" s="101">
        <f>YEAR(Table13[[#This Row],[Date]])+IF(MONTH(Table13[[#This Row],[Date]])&gt;=4,1,0)</f>
        <v>2026</v>
      </c>
      <c r="C348" s="7">
        <f>YEAR(Table13[[#This Row],[Date]])</f>
        <v>2026</v>
      </c>
      <c r="D348" s="102">
        <f>Table13[[#This Row],[Date]]-DAY(Table13[[#This Row],[Date]])+1</f>
        <v>46082</v>
      </c>
      <c r="E348" s="7">
        <f t="shared" si="20"/>
        <v>31</v>
      </c>
      <c r="F348" s="103" t="str">
        <f>IFERROR(_xlfn.XLOOKUP($A348,'Raw Data'!$G:$G,'Raw Data'!$AM:$AM),"")</f>
        <v/>
      </c>
      <c r="G348" s="104" t="str">
        <f>IFERROR(_xlfn.XLOOKUP($A348,'Raw Data'!$G:$G,'Raw Data'!$AB:$AB),"")</f>
        <v/>
      </c>
      <c r="H348" s="104"/>
      <c r="I348" s="104" t="str">
        <f>IFERROR(_xlfn.XLOOKUP($A348,'Raw Data'!$G:$G,'Raw Data'!$AC:$AC),"")</f>
        <v/>
      </c>
      <c r="J348" s="104"/>
      <c r="K348" s="104" t="str">
        <f>IFERROR(_xlfn.XLOOKUP($A348,'Raw Data'!$G:$G,'Raw Data'!AD:AD),"")</f>
        <v/>
      </c>
      <c r="L348" s="104" t="str">
        <f>IFERROR(_xlfn.XLOOKUP($A348,'Raw Data'!$G:$G,'Raw Data'!AE:AE),"")</f>
        <v/>
      </c>
      <c r="M348" s="104" t="str">
        <f>IFERROR(_xlfn.XLOOKUP($A348,'Raw Data'!$G:$G,'Raw Data'!AF:AF),"")</f>
        <v/>
      </c>
      <c r="N348" s="104" t="str">
        <f>IFERROR(_xlfn.XLOOKUP($A348,'Raw Data'!$G:$G,'Raw Data'!AG:AG),"")</f>
        <v/>
      </c>
      <c r="O348" s="105" t="str">
        <f>IFERROR(1-SUMIF('Plant BD'!$B:$B,$A348,'Plant BD'!$AM:$AM)/($AA348+SUMIF('Plant BD'!$B:$B,$A348,'Plant BD'!$AM:$AM)),"")</f>
        <v/>
      </c>
      <c r="P348" s="105"/>
      <c r="Q348" s="106"/>
      <c r="R348" s="105" t="str">
        <f>IFERROR(1-SUMIF('Grid BD'!$B:$B,$A348,'Grid BD'!$AE:$AE)/($AA348+SUMIF('Grid BD'!$B:$B,$A348,'Grid BD'!$AE:$AE)),"")</f>
        <v/>
      </c>
      <c r="T348" s="106"/>
      <c r="U348" s="107" t="str">
        <f t="shared" si="21"/>
        <v/>
      </c>
      <c r="V348" s="107"/>
      <c r="W348" s="108" t="str">
        <f t="shared" si="22"/>
        <v/>
      </c>
      <c r="X348" s="101" t="str">
        <f>IFERROR(_xlfn.XLOOKUP($A348,'Raw Data'!$G:$G,'Raw Data'!AI:AI),"")</f>
        <v/>
      </c>
      <c r="Y348" s="101" t="str">
        <f>IFERROR(_xlfn.XLOOKUP($A348,'Raw Data'!$G:$G,'Raw Data'!AJ:AJ),"")</f>
        <v/>
      </c>
      <c r="Z348" s="101" t="str">
        <f>IFERROR(_xlfn.XLOOKUP($A348,'Raw Data'!$G:$G,'Raw Data'!AK:AK),"")</f>
        <v/>
      </c>
      <c r="AA348" s="101" t="str">
        <f>IFERROR(_xlfn.XLOOKUP($A348,'Raw Data'!$G:$G,'Raw Data'!$AL:$AL)*(1+(_xlfn.XLOOKUP(Table13[[#This Row],[Month Year]],JMR!$A:$A,JMR!$J:$J))),"")</f>
        <v/>
      </c>
      <c r="AB348" s="101" t="str">
        <f>IFERROR(_xlfn.XLOOKUP($A348,'Raw Data'!$G:$G,'Raw Data'!H:H),"")</f>
        <v/>
      </c>
      <c r="AC348" s="67">
        <f>IFERROR(_xlfn.XLOOKUP($D348,'Modelling New'!$D:$D,'Modelling New'!P:P),"")</f>
        <v>6.7870967741935484</v>
      </c>
      <c r="AD348" s="101">
        <f>IFERROR(_xlfn.XLOOKUP($D348,'Modelling New'!$D:$D,'Modelling New'!$T:$T)*1000,"")</f>
        <v>38219.028541703687</v>
      </c>
      <c r="AE348" s="109">
        <f>IFERROR(_xlfn.XLOOKUP($D348,'Modelling New'!$D:$D,'Modelling New'!O:O),"")</f>
        <v>0.70205720444645292</v>
      </c>
      <c r="AF348" s="108">
        <f>IFERROR(_xlfn.XLOOKUP($D348,'Modelling New'!$D:$D,'Modelling New'!W:W),"")</f>
        <v>0.19853875781657757</v>
      </c>
      <c r="AG348" s="108">
        <f>IFERROR(_xlfn.XLOOKUP($D348,'Modelling New'!$D:$D,'Modelling New'!AE:AE),"")</f>
        <v>0.98040000000000005</v>
      </c>
      <c r="AH348" s="128">
        <f>IFERROR(_xlfn.XLOOKUP($D348,'Modelling New'!$D:$D,'Modelling New'!AF:AF),"")</f>
        <v>0.98</v>
      </c>
      <c r="AN348" s="105"/>
      <c r="AO348" s="108"/>
      <c r="AP348" s="108"/>
      <c r="AQ348" s="108"/>
      <c r="AR348" s="101">
        <f>'Basic Data'!$B$98/1000</f>
        <v>8.0208999999999993</v>
      </c>
      <c r="AT348" s="7" t="str">
        <f>IFERROR(_xlfn.XLOOKUP(Table13[[#This Row],[Date]],'Raw Data'!$G:$G,'Raw Data'!$AN:$AN),"")</f>
        <v/>
      </c>
      <c r="AU348" s="7">
        <f>IFERROR(_xlfn.XLOOKUP(Table13[[#This Row],[Month Year]],'Modelling New'!$D:$D,'Modelling New'!$AO:$AO),"")</f>
        <v>8</v>
      </c>
      <c r="AV348" s="7">
        <f>SUMIF('Curtailment Records'!$C:$C,Table13[[#This Row],[Date]],'Curtailment Records'!$R:$R)/1000</f>
        <v>0</v>
      </c>
    </row>
    <row r="349" spans="1:48" x14ac:dyDescent="0.3">
      <c r="A349" s="100">
        <f t="shared" si="23"/>
        <v>46092</v>
      </c>
      <c r="B349" s="101">
        <f>YEAR(Table13[[#This Row],[Date]])+IF(MONTH(Table13[[#This Row],[Date]])&gt;=4,1,0)</f>
        <v>2026</v>
      </c>
      <c r="C349" s="7">
        <f>YEAR(Table13[[#This Row],[Date]])</f>
        <v>2026</v>
      </c>
      <c r="D349" s="102">
        <f>Table13[[#This Row],[Date]]-DAY(Table13[[#This Row],[Date]])+1</f>
        <v>46082</v>
      </c>
      <c r="E349" s="7">
        <f t="shared" si="20"/>
        <v>31</v>
      </c>
      <c r="F349" s="103" t="str">
        <f>IFERROR(_xlfn.XLOOKUP($A349,'Raw Data'!$G:$G,'Raw Data'!$AM:$AM),"")</f>
        <v/>
      </c>
      <c r="G349" s="104" t="str">
        <f>IFERROR(_xlfn.XLOOKUP($A349,'Raw Data'!$G:$G,'Raw Data'!$AB:$AB),"")</f>
        <v/>
      </c>
      <c r="H349" s="104"/>
      <c r="I349" s="104" t="str">
        <f>IFERROR(_xlfn.XLOOKUP($A349,'Raw Data'!$G:$G,'Raw Data'!$AC:$AC),"")</f>
        <v/>
      </c>
      <c r="J349" s="104"/>
      <c r="K349" s="104" t="str">
        <f>IFERROR(_xlfn.XLOOKUP($A349,'Raw Data'!$G:$G,'Raw Data'!AD:AD),"")</f>
        <v/>
      </c>
      <c r="L349" s="104" t="str">
        <f>IFERROR(_xlfn.XLOOKUP($A349,'Raw Data'!$G:$G,'Raw Data'!AE:AE),"")</f>
        <v/>
      </c>
      <c r="M349" s="104" t="str">
        <f>IFERROR(_xlfn.XLOOKUP($A349,'Raw Data'!$G:$G,'Raw Data'!AF:AF),"")</f>
        <v/>
      </c>
      <c r="N349" s="104" t="str">
        <f>IFERROR(_xlfn.XLOOKUP($A349,'Raw Data'!$G:$G,'Raw Data'!AG:AG),"")</f>
        <v/>
      </c>
      <c r="O349" s="105" t="str">
        <f>IFERROR(1-SUMIF('Plant BD'!$B:$B,$A349,'Plant BD'!$AM:$AM)/($AA349+SUMIF('Plant BD'!$B:$B,$A349,'Plant BD'!$AM:$AM)),"")</f>
        <v/>
      </c>
      <c r="P349" s="105"/>
      <c r="Q349" s="106"/>
      <c r="R349" s="105" t="str">
        <f>IFERROR(1-SUMIF('Grid BD'!$B:$B,$A349,'Grid BD'!$AE:$AE)/($AA349+SUMIF('Grid BD'!$B:$B,$A349,'Grid BD'!$AE:$AE)),"")</f>
        <v/>
      </c>
      <c r="T349" s="106"/>
      <c r="U349" s="107" t="str">
        <f t="shared" si="21"/>
        <v/>
      </c>
      <c r="V349" s="107"/>
      <c r="W349" s="108" t="str">
        <f t="shared" si="22"/>
        <v/>
      </c>
      <c r="X349" s="101" t="str">
        <f>IFERROR(_xlfn.XLOOKUP($A349,'Raw Data'!$G:$G,'Raw Data'!AI:AI),"")</f>
        <v/>
      </c>
      <c r="Y349" s="101" t="str">
        <f>IFERROR(_xlfn.XLOOKUP($A349,'Raw Data'!$G:$G,'Raw Data'!AJ:AJ),"")</f>
        <v/>
      </c>
      <c r="Z349" s="101" t="str">
        <f>IFERROR(_xlfn.XLOOKUP($A349,'Raw Data'!$G:$G,'Raw Data'!AK:AK),"")</f>
        <v/>
      </c>
      <c r="AA349" s="101" t="str">
        <f>IFERROR(_xlfn.XLOOKUP($A349,'Raw Data'!$G:$G,'Raw Data'!$AL:$AL)*(1+(_xlfn.XLOOKUP(Table13[[#This Row],[Month Year]],JMR!$A:$A,JMR!$J:$J))),"")</f>
        <v/>
      </c>
      <c r="AB349" s="101" t="str">
        <f>IFERROR(_xlfn.XLOOKUP($A349,'Raw Data'!$G:$G,'Raw Data'!H:H),"")</f>
        <v/>
      </c>
      <c r="AC349" s="67">
        <f>IFERROR(_xlfn.XLOOKUP($D349,'Modelling New'!$D:$D,'Modelling New'!P:P),"")</f>
        <v>6.7870967741935484</v>
      </c>
      <c r="AD349" s="101">
        <f>IFERROR(_xlfn.XLOOKUP($D349,'Modelling New'!$D:$D,'Modelling New'!$T:$T)*1000,"")</f>
        <v>38219.028541703687</v>
      </c>
      <c r="AE349" s="109">
        <f>IFERROR(_xlfn.XLOOKUP($D349,'Modelling New'!$D:$D,'Modelling New'!O:O),"")</f>
        <v>0.70205720444645292</v>
      </c>
      <c r="AF349" s="108">
        <f>IFERROR(_xlfn.XLOOKUP($D349,'Modelling New'!$D:$D,'Modelling New'!W:W),"")</f>
        <v>0.19853875781657757</v>
      </c>
      <c r="AG349" s="108">
        <f>IFERROR(_xlfn.XLOOKUP($D349,'Modelling New'!$D:$D,'Modelling New'!AE:AE),"")</f>
        <v>0.98040000000000005</v>
      </c>
      <c r="AH349" s="128">
        <f>IFERROR(_xlfn.XLOOKUP($D349,'Modelling New'!$D:$D,'Modelling New'!AF:AF),"")</f>
        <v>0.98</v>
      </c>
      <c r="AN349" s="105"/>
      <c r="AO349" s="108"/>
      <c r="AP349" s="108"/>
      <c r="AQ349" s="108"/>
      <c r="AR349" s="101">
        <f>'Basic Data'!$B$98/1000</f>
        <v>8.0208999999999993</v>
      </c>
      <c r="AT349" s="7" t="str">
        <f>IFERROR(_xlfn.XLOOKUP(Table13[[#This Row],[Date]],'Raw Data'!$G:$G,'Raw Data'!$AN:$AN),"")</f>
        <v/>
      </c>
      <c r="AU349" s="7">
        <f>IFERROR(_xlfn.XLOOKUP(Table13[[#This Row],[Month Year]],'Modelling New'!$D:$D,'Modelling New'!$AO:$AO),"")</f>
        <v>8</v>
      </c>
      <c r="AV349" s="7">
        <f>SUMIF('Curtailment Records'!$C:$C,Table13[[#This Row],[Date]],'Curtailment Records'!$R:$R)/1000</f>
        <v>0</v>
      </c>
    </row>
    <row r="350" spans="1:48" x14ac:dyDescent="0.3">
      <c r="A350" s="100">
        <f t="shared" si="23"/>
        <v>46093</v>
      </c>
      <c r="B350" s="101">
        <f>YEAR(Table13[[#This Row],[Date]])+IF(MONTH(Table13[[#This Row],[Date]])&gt;=4,1,0)</f>
        <v>2026</v>
      </c>
      <c r="C350" s="7">
        <f>YEAR(Table13[[#This Row],[Date]])</f>
        <v>2026</v>
      </c>
      <c r="D350" s="102">
        <f>Table13[[#This Row],[Date]]-DAY(Table13[[#This Row],[Date]])+1</f>
        <v>46082</v>
      </c>
      <c r="E350" s="7">
        <f t="shared" si="20"/>
        <v>31</v>
      </c>
      <c r="F350" s="103" t="str">
        <f>IFERROR(_xlfn.XLOOKUP($A350,'Raw Data'!$G:$G,'Raw Data'!$AM:$AM),"")</f>
        <v/>
      </c>
      <c r="G350" s="104" t="str">
        <f>IFERROR(_xlfn.XLOOKUP($A350,'Raw Data'!$G:$G,'Raw Data'!$AB:$AB),"")</f>
        <v/>
      </c>
      <c r="H350" s="104"/>
      <c r="I350" s="104" t="str">
        <f>IFERROR(_xlfn.XLOOKUP($A350,'Raw Data'!$G:$G,'Raw Data'!$AC:$AC),"")</f>
        <v/>
      </c>
      <c r="J350" s="104"/>
      <c r="K350" s="104" t="str">
        <f>IFERROR(_xlfn.XLOOKUP($A350,'Raw Data'!$G:$G,'Raw Data'!AD:AD),"")</f>
        <v/>
      </c>
      <c r="L350" s="104" t="str">
        <f>IFERROR(_xlfn.XLOOKUP($A350,'Raw Data'!$G:$G,'Raw Data'!AE:AE),"")</f>
        <v/>
      </c>
      <c r="M350" s="104" t="str">
        <f>IFERROR(_xlfn.XLOOKUP($A350,'Raw Data'!$G:$G,'Raw Data'!AF:AF),"")</f>
        <v/>
      </c>
      <c r="N350" s="104" t="str">
        <f>IFERROR(_xlfn.XLOOKUP($A350,'Raw Data'!$G:$G,'Raw Data'!AG:AG),"")</f>
        <v/>
      </c>
      <c r="O350" s="105" t="str">
        <f>IFERROR(1-SUMIF('Plant BD'!$B:$B,$A350,'Plant BD'!$AM:$AM)/($AA350+SUMIF('Plant BD'!$B:$B,$A350,'Plant BD'!$AM:$AM)),"")</f>
        <v/>
      </c>
      <c r="P350" s="105"/>
      <c r="Q350" s="106"/>
      <c r="R350" s="105" t="str">
        <f>IFERROR(1-SUMIF('Grid BD'!$B:$B,$A350,'Grid BD'!$AE:$AE)/($AA350+SUMIF('Grid BD'!$B:$B,$A350,'Grid BD'!$AE:$AE)),"")</f>
        <v/>
      </c>
      <c r="T350" s="106"/>
      <c r="U350" s="107" t="str">
        <f t="shared" si="21"/>
        <v/>
      </c>
      <c r="V350" s="107"/>
      <c r="W350" s="108" t="str">
        <f t="shared" si="22"/>
        <v/>
      </c>
      <c r="X350" s="101" t="str">
        <f>IFERROR(_xlfn.XLOOKUP($A350,'Raw Data'!$G:$G,'Raw Data'!AI:AI),"")</f>
        <v/>
      </c>
      <c r="Y350" s="101" t="str">
        <f>IFERROR(_xlfn.XLOOKUP($A350,'Raw Data'!$G:$G,'Raw Data'!AJ:AJ),"")</f>
        <v/>
      </c>
      <c r="Z350" s="101" t="str">
        <f>IFERROR(_xlfn.XLOOKUP($A350,'Raw Data'!$G:$G,'Raw Data'!AK:AK),"")</f>
        <v/>
      </c>
      <c r="AA350" s="101" t="str">
        <f>IFERROR(_xlfn.XLOOKUP($A350,'Raw Data'!$G:$G,'Raw Data'!$AL:$AL)*(1+(_xlfn.XLOOKUP(Table13[[#This Row],[Month Year]],JMR!$A:$A,JMR!$J:$J))),"")</f>
        <v/>
      </c>
      <c r="AB350" s="101" t="str">
        <f>IFERROR(_xlfn.XLOOKUP($A350,'Raw Data'!$G:$G,'Raw Data'!H:H),"")</f>
        <v/>
      </c>
      <c r="AC350" s="67">
        <f>IFERROR(_xlfn.XLOOKUP($D350,'Modelling New'!$D:$D,'Modelling New'!P:P),"")</f>
        <v>6.7870967741935484</v>
      </c>
      <c r="AD350" s="101">
        <f>IFERROR(_xlfn.XLOOKUP($D350,'Modelling New'!$D:$D,'Modelling New'!$T:$T)*1000,"")</f>
        <v>38219.028541703687</v>
      </c>
      <c r="AE350" s="109">
        <f>IFERROR(_xlfn.XLOOKUP($D350,'Modelling New'!$D:$D,'Modelling New'!O:O),"")</f>
        <v>0.70205720444645292</v>
      </c>
      <c r="AF350" s="108">
        <f>IFERROR(_xlfn.XLOOKUP($D350,'Modelling New'!$D:$D,'Modelling New'!W:W),"")</f>
        <v>0.19853875781657757</v>
      </c>
      <c r="AG350" s="108">
        <f>IFERROR(_xlfn.XLOOKUP($D350,'Modelling New'!$D:$D,'Modelling New'!AE:AE),"")</f>
        <v>0.98040000000000005</v>
      </c>
      <c r="AH350" s="128">
        <f>IFERROR(_xlfn.XLOOKUP($D350,'Modelling New'!$D:$D,'Modelling New'!AF:AF),"")</f>
        <v>0.98</v>
      </c>
      <c r="AN350" s="105"/>
      <c r="AO350" s="108"/>
      <c r="AP350" s="108"/>
      <c r="AQ350" s="108"/>
      <c r="AR350" s="101">
        <f>'Basic Data'!$B$98/1000</f>
        <v>8.0208999999999993</v>
      </c>
      <c r="AT350" s="7" t="str">
        <f>IFERROR(_xlfn.XLOOKUP(Table13[[#This Row],[Date]],'Raw Data'!$G:$G,'Raw Data'!$AN:$AN),"")</f>
        <v/>
      </c>
      <c r="AU350" s="7">
        <f>IFERROR(_xlfn.XLOOKUP(Table13[[#This Row],[Month Year]],'Modelling New'!$D:$D,'Modelling New'!$AO:$AO),"")</f>
        <v>8</v>
      </c>
      <c r="AV350" s="7">
        <f>SUMIF('Curtailment Records'!$C:$C,Table13[[#This Row],[Date]],'Curtailment Records'!$R:$R)/1000</f>
        <v>0</v>
      </c>
    </row>
    <row r="351" spans="1:48" x14ac:dyDescent="0.3">
      <c r="A351" s="100">
        <f t="shared" si="23"/>
        <v>46094</v>
      </c>
      <c r="B351" s="101">
        <f>YEAR(Table13[[#This Row],[Date]])+IF(MONTH(Table13[[#This Row],[Date]])&gt;=4,1,0)</f>
        <v>2026</v>
      </c>
      <c r="C351" s="7">
        <f>YEAR(Table13[[#This Row],[Date]])</f>
        <v>2026</v>
      </c>
      <c r="D351" s="102">
        <f>Table13[[#This Row],[Date]]-DAY(Table13[[#This Row],[Date]])+1</f>
        <v>46082</v>
      </c>
      <c r="E351" s="7">
        <f t="shared" si="20"/>
        <v>31</v>
      </c>
      <c r="F351" s="103" t="str">
        <f>IFERROR(_xlfn.XLOOKUP($A351,'Raw Data'!$G:$G,'Raw Data'!$AM:$AM),"")</f>
        <v/>
      </c>
      <c r="G351" s="104" t="str">
        <f>IFERROR(_xlfn.XLOOKUP($A351,'Raw Data'!$G:$G,'Raw Data'!$AB:$AB),"")</f>
        <v/>
      </c>
      <c r="H351" s="104"/>
      <c r="I351" s="104" t="str">
        <f>IFERROR(_xlfn.XLOOKUP($A351,'Raw Data'!$G:$G,'Raw Data'!$AC:$AC),"")</f>
        <v/>
      </c>
      <c r="J351" s="104"/>
      <c r="K351" s="104" t="str">
        <f>IFERROR(_xlfn.XLOOKUP($A351,'Raw Data'!$G:$G,'Raw Data'!AD:AD),"")</f>
        <v/>
      </c>
      <c r="L351" s="104" t="str">
        <f>IFERROR(_xlfn.XLOOKUP($A351,'Raw Data'!$G:$G,'Raw Data'!AE:AE),"")</f>
        <v/>
      </c>
      <c r="M351" s="104" t="str">
        <f>IFERROR(_xlfn.XLOOKUP($A351,'Raw Data'!$G:$G,'Raw Data'!AF:AF),"")</f>
        <v/>
      </c>
      <c r="N351" s="104" t="str">
        <f>IFERROR(_xlfn.XLOOKUP($A351,'Raw Data'!$G:$G,'Raw Data'!AG:AG),"")</f>
        <v/>
      </c>
      <c r="O351" s="105" t="str">
        <f>IFERROR(1-SUMIF('Plant BD'!$B:$B,$A351,'Plant BD'!$AM:$AM)/($AA351+SUMIF('Plant BD'!$B:$B,$A351,'Plant BD'!$AM:$AM)),"")</f>
        <v/>
      </c>
      <c r="P351" s="105"/>
      <c r="Q351" s="106"/>
      <c r="R351" s="105" t="str">
        <f>IFERROR(1-SUMIF('Grid BD'!$B:$B,$A351,'Grid BD'!$AE:$AE)/($AA351+SUMIF('Grid BD'!$B:$B,$A351,'Grid BD'!$AE:$AE)),"")</f>
        <v/>
      </c>
      <c r="T351" s="106"/>
      <c r="U351" s="107" t="str">
        <f t="shared" si="21"/>
        <v/>
      </c>
      <c r="V351" s="107"/>
      <c r="W351" s="108" t="str">
        <f t="shared" si="22"/>
        <v/>
      </c>
      <c r="X351" s="101" t="str">
        <f>IFERROR(_xlfn.XLOOKUP($A351,'Raw Data'!$G:$G,'Raw Data'!AI:AI),"")</f>
        <v/>
      </c>
      <c r="Y351" s="101" t="str">
        <f>IFERROR(_xlfn.XLOOKUP($A351,'Raw Data'!$G:$G,'Raw Data'!AJ:AJ),"")</f>
        <v/>
      </c>
      <c r="Z351" s="101" t="str">
        <f>IFERROR(_xlfn.XLOOKUP($A351,'Raw Data'!$G:$G,'Raw Data'!AK:AK),"")</f>
        <v/>
      </c>
      <c r="AA351" s="101" t="str">
        <f>IFERROR(_xlfn.XLOOKUP($A351,'Raw Data'!$G:$G,'Raw Data'!$AL:$AL)*(1+(_xlfn.XLOOKUP(Table13[[#This Row],[Month Year]],JMR!$A:$A,JMR!$J:$J))),"")</f>
        <v/>
      </c>
      <c r="AB351" s="101" t="str">
        <f>IFERROR(_xlfn.XLOOKUP($A351,'Raw Data'!$G:$G,'Raw Data'!H:H),"")</f>
        <v/>
      </c>
      <c r="AC351" s="67">
        <f>IFERROR(_xlfn.XLOOKUP($D351,'Modelling New'!$D:$D,'Modelling New'!P:P),"")</f>
        <v>6.7870967741935484</v>
      </c>
      <c r="AD351" s="101">
        <f>IFERROR(_xlfn.XLOOKUP($D351,'Modelling New'!$D:$D,'Modelling New'!$T:$T)*1000,"")</f>
        <v>38219.028541703687</v>
      </c>
      <c r="AE351" s="109">
        <f>IFERROR(_xlfn.XLOOKUP($D351,'Modelling New'!$D:$D,'Modelling New'!O:O),"")</f>
        <v>0.70205720444645292</v>
      </c>
      <c r="AF351" s="108">
        <f>IFERROR(_xlfn.XLOOKUP($D351,'Modelling New'!$D:$D,'Modelling New'!W:W),"")</f>
        <v>0.19853875781657757</v>
      </c>
      <c r="AG351" s="108">
        <f>IFERROR(_xlfn.XLOOKUP($D351,'Modelling New'!$D:$D,'Modelling New'!AE:AE),"")</f>
        <v>0.98040000000000005</v>
      </c>
      <c r="AH351" s="128">
        <f>IFERROR(_xlfn.XLOOKUP($D351,'Modelling New'!$D:$D,'Modelling New'!AF:AF),"")</f>
        <v>0.98</v>
      </c>
      <c r="AN351" s="105"/>
      <c r="AO351" s="108"/>
      <c r="AP351" s="108"/>
      <c r="AQ351" s="108"/>
      <c r="AR351" s="101">
        <f>'Basic Data'!$B$98/1000</f>
        <v>8.0208999999999993</v>
      </c>
      <c r="AT351" s="7" t="str">
        <f>IFERROR(_xlfn.XLOOKUP(Table13[[#This Row],[Date]],'Raw Data'!$G:$G,'Raw Data'!$AN:$AN),"")</f>
        <v/>
      </c>
      <c r="AU351" s="7">
        <f>IFERROR(_xlfn.XLOOKUP(Table13[[#This Row],[Month Year]],'Modelling New'!$D:$D,'Modelling New'!$AO:$AO),"")</f>
        <v>8</v>
      </c>
      <c r="AV351" s="7">
        <f>SUMIF('Curtailment Records'!$C:$C,Table13[[#This Row],[Date]],'Curtailment Records'!$R:$R)/1000</f>
        <v>0</v>
      </c>
    </row>
    <row r="352" spans="1:48" x14ac:dyDescent="0.3">
      <c r="A352" s="100">
        <f t="shared" si="23"/>
        <v>46095</v>
      </c>
      <c r="B352" s="101">
        <f>YEAR(Table13[[#This Row],[Date]])+IF(MONTH(Table13[[#This Row],[Date]])&gt;=4,1,0)</f>
        <v>2026</v>
      </c>
      <c r="C352" s="7">
        <f>YEAR(Table13[[#This Row],[Date]])</f>
        <v>2026</v>
      </c>
      <c r="D352" s="102">
        <f>Table13[[#This Row],[Date]]-DAY(Table13[[#This Row],[Date]])+1</f>
        <v>46082</v>
      </c>
      <c r="E352" s="7">
        <f t="shared" si="20"/>
        <v>31</v>
      </c>
      <c r="F352" s="103" t="str">
        <f>IFERROR(_xlfn.XLOOKUP($A352,'Raw Data'!$G:$G,'Raw Data'!$AM:$AM),"")</f>
        <v/>
      </c>
      <c r="G352" s="104" t="str">
        <f>IFERROR(_xlfn.XLOOKUP($A352,'Raw Data'!$G:$G,'Raw Data'!$AB:$AB),"")</f>
        <v/>
      </c>
      <c r="H352" s="104"/>
      <c r="I352" s="104" t="str">
        <f>IFERROR(_xlfn.XLOOKUP($A352,'Raw Data'!$G:$G,'Raw Data'!$AC:$AC),"")</f>
        <v/>
      </c>
      <c r="J352" s="104"/>
      <c r="K352" s="104" t="str">
        <f>IFERROR(_xlfn.XLOOKUP($A352,'Raw Data'!$G:$G,'Raw Data'!AD:AD),"")</f>
        <v/>
      </c>
      <c r="L352" s="104" t="str">
        <f>IFERROR(_xlfn.XLOOKUP($A352,'Raw Data'!$G:$G,'Raw Data'!AE:AE),"")</f>
        <v/>
      </c>
      <c r="M352" s="104" t="str">
        <f>IFERROR(_xlfn.XLOOKUP($A352,'Raw Data'!$G:$G,'Raw Data'!AF:AF),"")</f>
        <v/>
      </c>
      <c r="N352" s="104" t="str">
        <f>IFERROR(_xlfn.XLOOKUP($A352,'Raw Data'!$G:$G,'Raw Data'!AG:AG),"")</f>
        <v/>
      </c>
      <c r="O352" s="105" t="str">
        <f>IFERROR(1-SUMIF('Plant BD'!$B:$B,$A352,'Plant BD'!$AM:$AM)/($AA352+SUMIF('Plant BD'!$B:$B,$A352,'Plant BD'!$AM:$AM)),"")</f>
        <v/>
      </c>
      <c r="P352" s="105"/>
      <c r="Q352" s="106"/>
      <c r="R352" s="105" t="str">
        <f>IFERROR(1-SUMIF('Grid BD'!$B:$B,$A352,'Grid BD'!$AE:$AE)/($AA352+SUMIF('Grid BD'!$B:$B,$A352,'Grid BD'!$AE:$AE)),"")</f>
        <v/>
      </c>
      <c r="T352" s="106"/>
      <c r="U352" s="107" t="str">
        <f t="shared" si="21"/>
        <v/>
      </c>
      <c r="V352" s="107"/>
      <c r="W352" s="108" t="str">
        <f t="shared" si="22"/>
        <v/>
      </c>
      <c r="X352" s="101" t="str">
        <f>IFERROR(_xlfn.XLOOKUP($A352,'Raw Data'!$G:$G,'Raw Data'!AI:AI),"")</f>
        <v/>
      </c>
      <c r="Y352" s="101" t="str">
        <f>IFERROR(_xlfn.XLOOKUP($A352,'Raw Data'!$G:$G,'Raw Data'!AJ:AJ),"")</f>
        <v/>
      </c>
      <c r="Z352" s="101" t="str">
        <f>IFERROR(_xlfn.XLOOKUP($A352,'Raw Data'!$G:$G,'Raw Data'!AK:AK),"")</f>
        <v/>
      </c>
      <c r="AA352" s="101" t="str">
        <f>IFERROR(_xlfn.XLOOKUP($A352,'Raw Data'!$G:$G,'Raw Data'!$AL:$AL)*(1+(_xlfn.XLOOKUP(Table13[[#This Row],[Month Year]],JMR!$A:$A,JMR!$J:$J))),"")</f>
        <v/>
      </c>
      <c r="AB352" s="101" t="str">
        <f>IFERROR(_xlfn.XLOOKUP($A352,'Raw Data'!$G:$G,'Raw Data'!H:H),"")</f>
        <v/>
      </c>
      <c r="AC352" s="67">
        <f>IFERROR(_xlfn.XLOOKUP($D352,'Modelling New'!$D:$D,'Modelling New'!P:P),"")</f>
        <v>6.7870967741935484</v>
      </c>
      <c r="AD352" s="101">
        <f>IFERROR(_xlfn.XLOOKUP($D352,'Modelling New'!$D:$D,'Modelling New'!$T:$T)*1000,"")</f>
        <v>38219.028541703687</v>
      </c>
      <c r="AE352" s="109">
        <f>IFERROR(_xlfn.XLOOKUP($D352,'Modelling New'!$D:$D,'Modelling New'!O:O),"")</f>
        <v>0.70205720444645292</v>
      </c>
      <c r="AF352" s="108">
        <f>IFERROR(_xlfn.XLOOKUP($D352,'Modelling New'!$D:$D,'Modelling New'!W:W),"")</f>
        <v>0.19853875781657757</v>
      </c>
      <c r="AG352" s="108">
        <f>IFERROR(_xlfn.XLOOKUP($D352,'Modelling New'!$D:$D,'Modelling New'!AE:AE),"")</f>
        <v>0.98040000000000005</v>
      </c>
      <c r="AH352" s="128">
        <f>IFERROR(_xlfn.XLOOKUP($D352,'Modelling New'!$D:$D,'Modelling New'!AF:AF),"")</f>
        <v>0.98</v>
      </c>
      <c r="AN352" s="105"/>
      <c r="AO352" s="108"/>
      <c r="AP352" s="108"/>
      <c r="AQ352" s="108"/>
      <c r="AR352" s="101">
        <f>'Basic Data'!$B$98/1000</f>
        <v>8.0208999999999993</v>
      </c>
      <c r="AT352" s="7" t="str">
        <f>IFERROR(_xlfn.XLOOKUP(Table13[[#This Row],[Date]],'Raw Data'!$G:$G,'Raw Data'!$AN:$AN),"")</f>
        <v/>
      </c>
      <c r="AU352" s="7">
        <f>IFERROR(_xlfn.XLOOKUP(Table13[[#This Row],[Month Year]],'Modelling New'!$D:$D,'Modelling New'!$AO:$AO),"")</f>
        <v>8</v>
      </c>
      <c r="AV352" s="7">
        <f>SUMIF('Curtailment Records'!$C:$C,Table13[[#This Row],[Date]],'Curtailment Records'!$R:$R)/1000</f>
        <v>0</v>
      </c>
    </row>
    <row r="353" spans="1:48" x14ac:dyDescent="0.3">
      <c r="A353" s="100">
        <f t="shared" si="23"/>
        <v>46096</v>
      </c>
      <c r="B353" s="101">
        <f>YEAR(Table13[[#This Row],[Date]])+IF(MONTH(Table13[[#This Row],[Date]])&gt;=4,1,0)</f>
        <v>2026</v>
      </c>
      <c r="C353" s="7">
        <f>YEAR(Table13[[#This Row],[Date]])</f>
        <v>2026</v>
      </c>
      <c r="D353" s="102">
        <f>Table13[[#This Row],[Date]]-DAY(Table13[[#This Row],[Date]])+1</f>
        <v>46082</v>
      </c>
      <c r="E353" s="7">
        <f t="shared" si="20"/>
        <v>31</v>
      </c>
      <c r="F353" s="103" t="str">
        <f>IFERROR(_xlfn.XLOOKUP($A353,'Raw Data'!$G:$G,'Raw Data'!$AM:$AM),"")</f>
        <v/>
      </c>
      <c r="G353" s="104" t="str">
        <f>IFERROR(_xlfn.XLOOKUP($A353,'Raw Data'!$G:$G,'Raw Data'!$AB:$AB),"")</f>
        <v/>
      </c>
      <c r="H353" s="104"/>
      <c r="I353" s="104" t="str">
        <f>IFERROR(_xlfn.XLOOKUP($A353,'Raw Data'!$G:$G,'Raw Data'!$AC:$AC),"")</f>
        <v/>
      </c>
      <c r="J353" s="104"/>
      <c r="K353" s="104" t="str">
        <f>IFERROR(_xlfn.XLOOKUP($A353,'Raw Data'!$G:$G,'Raw Data'!AD:AD),"")</f>
        <v/>
      </c>
      <c r="L353" s="104" t="str">
        <f>IFERROR(_xlfn.XLOOKUP($A353,'Raw Data'!$G:$G,'Raw Data'!AE:AE),"")</f>
        <v/>
      </c>
      <c r="M353" s="104" t="str">
        <f>IFERROR(_xlfn.XLOOKUP($A353,'Raw Data'!$G:$G,'Raw Data'!AF:AF),"")</f>
        <v/>
      </c>
      <c r="N353" s="104" t="str">
        <f>IFERROR(_xlfn.XLOOKUP($A353,'Raw Data'!$G:$G,'Raw Data'!AG:AG),"")</f>
        <v/>
      </c>
      <c r="O353" s="105" t="str">
        <f>IFERROR(1-SUMIF('Plant BD'!$B:$B,$A353,'Plant BD'!$AM:$AM)/($AA353+SUMIF('Plant BD'!$B:$B,$A353,'Plant BD'!$AM:$AM)),"")</f>
        <v/>
      </c>
      <c r="P353" s="105"/>
      <c r="Q353" s="106"/>
      <c r="R353" s="105" t="str">
        <f>IFERROR(1-SUMIF('Grid BD'!$B:$B,$A353,'Grid BD'!$AE:$AE)/($AA353+SUMIF('Grid BD'!$B:$B,$A353,'Grid BD'!$AE:$AE)),"")</f>
        <v/>
      </c>
      <c r="T353" s="106"/>
      <c r="U353" s="107" t="str">
        <f t="shared" si="21"/>
        <v/>
      </c>
      <c r="V353" s="107"/>
      <c r="W353" s="108" t="str">
        <f t="shared" si="22"/>
        <v/>
      </c>
      <c r="X353" s="101" t="str">
        <f>IFERROR(_xlfn.XLOOKUP($A353,'Raw Data'!$G:$G,'Raw Data'!AI:AI),"")</f>
        <v/>
      </c>
      <c r="Y353" s="101" t="str">
        <f>IFERROR(_xlfn.XLOOKUP($A353,'Raw Data'!$G:$G,'Raw Data'!AJ:AJ),"")</f>
        <v/>
      </c>
      <c r="Z353" s="101" t="str">
        <f>IFERROR(_xlfn.XLOOKUP($A353,'Raw Data'!$G:$G,'Raw Data'!AK:AK),"")</f>
        <v/>
      </c>
      <c r="AA353" s="101" t="str">
        <f>IFERROR(_xlfn.XLOOKUP($A353,'Raw Data'!$G:$G,'Raw Data'!$AL:$AL)*(1+(_xlfn.XLOOKUP(Table13[[#This Row],[Month Year]],JMR!$A:$A,JMR!$J:$J))),"")</f>
        <v/>
      </c>
      <c r="AB353" s="101" t="str">
        <f>IFERROR(_xlfn.XLOOKUP($A353,'Raw Data'!$G:$G,'Raw Data'!H:H),"")</f>
        <v/>
      </c>
      <c r="AC353" s="67">
        <f>IFERROR(_xlfn.XLOOKUP($D353,'Modelling New'!$D:$D,'Modelling New'!P:P),"")</f>
        <v>6.7870967741935484</v>
      </c>
      <c r="AD353" s="101">
        <f>IFERROR(_xlfn.XLOOKUP($D353,'Modelling New'!$D:$D,'Modelling New'!$T:$T)*1000,"")</f>
        <v>38219.028541703687</v>
      </c>
      <c r="AE353" s="109">
        <f>IFERROR(_xlfn.XLOOKUP($D353,'Modelling New'!$D:$D,'Modelling New'!O:O),"")</f>
        <v>0.70205720444645292</v>
      </c>
      <c r="AF353" s="108">
        <f>IFERROR(_xlfn.XLOOKUP($D353,'Modelling New'!$D:$D,'Modelling New'!W:W),"")</f>
        <v>0.19853875781657757</v>
      </c>
      <c r="AG353" s="108">
        <f>IFERROR(_xlfn.XLOOKUP($D353,'Modelling New'!$D:$D,'Modelling New'!AE:AE),"")</f>
        <v>0.98040000000000005</v>
      </c>
      <c r="AH353" s="128">
        <f>IFERROR(_xlfn.XLOOKUP($D353,'Modelling New'!$D:$D,'Modelling New'!AF:AF),"")</f>
        <v>0.98</v>
      </c>
      <c r="AN353" s="105"/>
      <c r="AO353" s="108"/>
      <c r="AP353" s="108"/>
      <c r="AQ353" s="108"/>
      <c r="AR353" s="101">
        <f>'Basic Data'!$B$98/1000</f>
        <v>8.0208999999999993</v>
      </c>
      <c r="AT353" s="7" t="str">
        <f>IFERROR(_xlfn.XLOOKUP(Table13[[#This Row],[Date]],'Raw Data'!$G:$G,'Raw Data'!$AN:$AN),"")</f>
        <v/>
      </c>
      <c r="AU353" s="7">
        <f>IFERROR(_xlfn.XLOOKUP(Table13[[#This Row],[Month Year]],'Modelling New'!$D:$D,'Modelling New'!$AO:$AO),"")</f>
        <v>8</v>
      </c>
      <c r="AV353" s="7">
        <f>SUMIF('Curtailment Records'!$C:$C,Table13[[#This Row],[Date]],'Curtailment Records'!$R:$R)/1000</f>
        <v>0</v>
      </c>
    </row>
    <row r="354" spans="1:48" x14ac:dyDescent="0.3">
      <c r="A354" s="100">
        <f t="shared" si="23"/>
        <v>46097</v>
      </c>
      <c r="B354" s="101">
        <f>YEAR(Table13[[#This Row],[Date]])+IF(MONTH(Table13[[#This Row],[Date]])&gt;=4,1,0)</f>
        <v>2026</v>
      </c>
      <c r="C354" s="7">
        <f>YEAR(Table13[[#This Row],[Date]])</f>
        <v>2026</v>
      </c>
      <c r="D354" s="102">
        <f>Table13[[#This Row],[Date]]-DAY(Table13[[#This Row],[Date]])+1</f>
        <v>46082</v>
      </c>
      <c r="E354" s="7">
        <f t="shared" si="20"/>
        <v>31</v>
      </c>
      <c r="F354" s="103" t="str">
        <f>IFERROR(_xlfn.XLOOKUP($A354,'Raw Data'!$G:$G,'Raw Data'!$AM:$AM),"")</f>
        <v/>
      </c>
      <c r="G354" s="104" t="str">
        <f>IFERROR(_xlfn.XLOOKUP($A354,'Raw Data'!$G:$G,'Raw Data'!$AB:$AB),"")</f>
        <v/>
      </c>
      <c r="H354" s="104"/>
      <c r="I354" s="104" t="str">
        <f>IFERROR(_xlfn.XLOOKUP($A354,'Raw Data'!$G:$G,'Raw Data'!$AC:$AC),"")</f>
        <v/>
      </c>
      <c r="J354" s="104"/>
      <c r="K354" s="104" t="str">
        <f>IFERROR(_xlfn.XLOOKUP($A354,'Raw Data'!$G:$G,'Raw Data'!AD:AD),"")</f>
        <v/>
      </c>
      <c r="L354" s="104" t="str">
        <f>IFERROR(_xlfn.XLOOKUP($A354,'Raw Data'!$G:$G,'Raw Data'!AE:AE),"")</f>
        <v/>
      </c>
      <c r="M354" s="104" t="str">
        <f>IFERROR(_xlfn.XLOOKUP($A354,'Raw Data'!$G:$G,'Raw Data'!AF:AF),"")</f>
        <v/>
      </c>
      <c r="N354" s="104" t="str">
        <f>IFERROR(_xlfn.XLOOKUP($A354,'Raw Data'!$G:$G,'Raw Data'!AG:AG),"")</f>
        <v/>
      </c>
      <c r="O354" s="105" t="str">
        <f>IFERROR(1-SUMIF('Plant BD'!$B:$B,$A354,'Plant BD'!$AM:$AM)/($AA354+SUMIF('Plant BD'!$B:$B,$A354,'Plant BD'!$AM:$AM)),"")</f>
        <v/>
      </c>
      <c r="P354" s="105"/>
      <c r="Q354" s="106"/>
      <c r="R354" s="105" t="str">
        <f>IFERROR(1-SUMIF('Grid BD'!$B:$B,$A354,'Grid BD'!$AE:$AE)/($AA354+SUMIF('Grid BD'!$B:$B,$A354,'Grid BD'!$AE:$AE)),"")</f>
        <v/>
      </c>
      <c r="T354" s="106"/>
      <c r="U354" s="107" t="str">
        <f t="shared" si="21"/>
        <v/>
      </c>
      <c r="V354" s="107"/>
      <c r="W354" s="108" t="str">
        <f t="shared" si="22"/>
        <v/>
      </c>
      <c r="X354" s="101" t="str">
        <f>IFERROR(_xlfn.XLOOKUP($A354,'Raw Data'!$G:$G,'Raw Data'!AI:AI),"")</f>
        <v/>
      </c>
      <c r="Y354" s="101" t="str">
        <f>IFERROR(_xlfn.XLOOKUP($A354,'Raw Data'!$G:$G,'Raw Data'!AJ:AJ),"")</f>
        <v/>
      </c>
      <c r="Z354" s="101" t="str">
        <f>IFERROR(_xlfn.XLOOKUP($A354,'Raw Data'!$G:$G,'Raw Data'!AK:AK),"")</f>
        <v/>
      </c>
      <c r="AA354" s="101" t="str">
        <f>IFERROR(_xlfn.XLOOKUP($A354,'Raw Data'!$G:$G,'Raw Data'!$AL:$AL)*(1+(_xlfn.XLOOKUP(Table13[[#This Row],[Month Year]],JMR!$A:$A,JMR!$J:$J))),"")</f>
        <v/>
      </c>
      <c r="AB354" s="101" t="str">
        <f>IFERROR(_xlfn.XLOOKUP($A354,'Raw Data'!$G:$G,'Raw Data'!H:H),"")</f>
        <v/>
      </c>
      <c r="AC354" s="67">
        <f>IFERROR(_xlfn.XLOOKUP($D354,'Modelling New'!$D:$D,'Modelling New'!P:P),"")</f>
        <v>6.7870967741935484</v>
      </c>
      <c r="AD354" s="101">
        <f>IFERROR(_xlfn.XLOOKUP($D354,'Modelling New'!$D:$D,'Modelling New'!$T:$T)*1000,"")</f>
        <v>38219.028541703687</v>
      </c>
      <c r="AE354" s="109">
        <f>IFERROR(_xlfn.XLOOKUP($D354,'Modelling New'!$D:$D,'Modelling New'!O:O),"")</f>
        <v>0.70205720444645292</v>
      </c>
      <c r="AF354" s="108">
        <f>IFERROR(_xlfn.XLOOKUP($D354,'Modelling New'!$D:$D,'Modelling New'!W:W),"")</f>
        <v>0.19853875781657757</v>
      </c>
      <c r="AG354" s="108">
        <f>IFERROR(_xlfn.XLOOKUP($D354,'Modelling New'!$D:$D,'Modelling New'!AE:AE),"")</f>
        <v>0.98040000000000005</v>
      </c>
      <c r="AH354" s="128">
        <f>IFERROR(_xlfn.XLOOKUP($D354,'Modelling New'!$D:$D,'Modelling New'!AF:AF),"")</f>
        <v>0.98</v>
      </c>
      <c r="AN354" s="105"/>
      <c r="AO354" s="108"/>
      <c r="AP354" s="108"/>
      <c r="AQ354" s="108"/>
      <c r="AR354" s="101">
        <f>'Basic Data'!$B$98/1000</f>
        <v>8.0208999999999993</v>
      </c>
      <c r="AT354" s="7" t="str">
        <f>IFERROR(_xlfn.XLOOKUP(Table13[[#This Row],[Date]],'Raw Data'!$G:$G,'Raw Data'!$AN:$AN),"")</f>
        <v/>
      </c>
      <c r="AU354" s="7">
        <f>IFERROR(_xlfn.XLOOKUP(Table13[[#This Row],[Month Year]],'Modelling New'!$D:$D,'Modelling New'!$AO:$AO),"")</f>
        <v>8</v>
      </c>
      <c r="AV354" s="7">
        <f>SUMIF('Curtailment Records'!$C:$C,Table13[[#This Row],[Date]],'Curtailment Records'!$R:$R)/1000</f>
        <v>0</v>
      </c>
    </row>
    <row r="355" spans="1:48" x14ac:dyDescent="0.3">
      <c r="A355" s="100">
        <f t="shared" si="23"/>
        <v>46098</v>
      </c>
      <c r="B355" s="101">
        <f>YEAR(Table13[[#This Row],[Date]])+IF(MONTH(Table13[[#This Row],[Date]])&gt;=4,1,0)</f>
        <v>2026</v>
      </c>
      <c r="C355" s="7">
        <f>YEAR(Table13[[#This Row],[Date]])</f>
        <v>2026</v>
      </c>
      <c r="D355" s="102">
        <f>Table13[[#This Row],[Date]]-DAY(Table13[[#This Row],[Date]])+1</f>
        <v>46082</v>
      </c>
      <c r="E355" s="7">
        <f t="shared" si="20"/>
        <v>31</v>
      </c>
      <c r="F355" s="103" t="str">
        <f>IFERROR(_xlfn.XLOOKUP($A355,'Raw Data'!$G:$G,'Raw Data'!$AM:$AM),"")</f>
        <v/>
      </c>
      <c r="G355" s="104" t="str">
        <f>IFERROR(_xlfn.XLOOKUP($A355,'Raw Data'!$G:$G,'Raw Data'!$AB:$AB),"")</f>
        <v/>
      </c>
      <c r="H355" s="104"/>
      <c r="I355" s="104" t="str">
        <f>IFERROR(_xlfn.XLOOKUP($A355,'Raw Data'!$G:$G,'Raw Data'!$AC:$AC),"")</f>
        <v/>
      </c>
      <c r="J355" s="104"/>
      <c r="K355" s="104" t="str">
        <f>IFERROR(_xlfn.XLOOKUP($A355,'Raw Data'!$G:$G,'Raw Data'!AD:AD),"")</f>
        <v/>
      </c>
      <c r="L355" s="104" t="str">
        <f>IFERROR(_xlfn.XLOOKUP($A355,'Raw Data'!$G:$G,'Raw Data'!AE:AE),"")</f>
        <v/>
      </c>
      <c r="M355" s="104" t="str">
        <f>IFERROR(_xlfn.XLOOKUP($A355,'Raw Data'!$G:$G,'Raw Data'!AF:AF),"")</f>
        <v/>
      </c>
      <c r="N355" s="104" t="str">
        <f>IFERROR(_xlfn.XLOOKUP($A355,'Raw Data'!$G:$G,'Raw Data'!AG:AG),"")</f>
        <v/>
      </c>
      <c r="O355" s="105" t="str">
        <f>IFERROR(1-SUMIF('Plant BD'!$B:$B,$A355,'Plant BD'!$AM:$AM)/($AA355+SUMIF('Plant BD'!$B:$B,$A355,'Plant BD'!$AM:$AM)),"")</f>
        <v/>
      </c>
      <c r="P355" s="105"/>
      <c r="Q355" s="106"/>
      <c r="R355" s="105" t="str">
        <f>IFERROR(1-SUMIF('Grid BD'!$B:$B,$A355,'Grid BD'!$AE:$AE)/($AA355+SUMIF('Grid BD'!$B:$B,$A355,'Grid BD'!$AE:$AE)),"")</f>
        <v/>
      </c>
      <c r="T355" s="106"/>
      <c r="U355" s="107" t="str">
        <f t="shared" si="21"/>
        <v/>
      </c>
      <c r="V355" s="107"/>
      <c r="W355" s="108" t="str">
        <f t="shared" si="22"/>
        <v/>
      </c>
      <c r="X355" s="101" t="str">
        <f>IFERROR(_xlfn.XLOOKUP($A355,'Raw Data'!$G:$G,'Raw Data'!AI:AI),"")</f>
        <v/>
      </c>
      <c r="Y355" s="101" t="str">
        <f>IFERROR(_xlfn.XLOOKUP($A355,'Raw Data'!$G:$G,'Raw Data'!AJ:AJ),"")</f>
        <v/>
      </c>
      <c r="Z355" s="101" t="str">
        <f>IFERROR(_xlfn.XLOOKUP($A355,'Raw Data'!$G:$G,'Raw Data'!AK:AK),"")</f>
        <v/>
      </c>
      <c r="AA355" s="101" t="str">
        <f>IFERROR(_xlfn.XLOOKUP($A355,'Raw Data'!$G:$G,'Raw Data'!$AL:$AL)*(1+(_xlfn.XLOOKUP(Table13[[#This Row],[Month Year]],JMR!$A:$A,JMR!$J:$J))),"")</f>
        <v/>
      </c>
      <c r="AB355" s="101" t="str">
        <f>IFERROR(_xlfn.XLOOKUP($A355,'Raw Data'!$G:$G,'Raw Data'!H:H),"")</f>
        <v/>
      </c>
      <c r="AC355" s="67">
        <f>IFERROR(_xlfn.XLOOKUP($D355,'Modelling New'!$D:$D,'Modelling New'!P:P),"")</f>
        <v>6.7870967741935484</v>
      </c>
      <c r="AD355" s="101">
        <f>IFERROR(_xlfn.XLOOKUP($D355,'Modelling New'!$D:$D,'Modelling New'!$T:$T)*1000,"")</f>
        <v>38219.028541703687</v>
      </c>
      <c r="AE355" s="109">
        <f>IFERROR(_xlfn.XLOOKUP($D355,'Modelling New'!$D:$D,'Modelling New'!O:O),"")</f>
        <v>0.70205720444645292</v>
      </c>
      <c r="AF355" s="108">
        <f>IFERROR(_xlfn.XLOOKUP($D355,'Modelling New'!$D:$D,'Modelling New'!W:W),"")</f>
        <v>0.19853875781657757</v>
      </c>
      <c r="AG355" s="108">
        <f>IFERROR(_xlfn.XLOOKUP($D355,'Modelling New'!$D:$D,'Modelling New'!AE:AE),"")</f>
        <v>0.98040000000000005</v>
      </c>
      <c r="AH355" s="128">
        <f>IFERROR(_xlfn.XLOOKUP($D355,'Modelling New'!$D:$D,'Modelling New'!AF:AF),"")</f>
        <v>0.98</v>
      </c>
      <c r="AN355" s="105"/>
      <c r="AO355" s="108"/>
      <c r="AP355" s="108"/>
      <c r="AQ355" s="108"/>
      <c r="AR355" s="101">
        <f>'Basic Data'!$B$98/1000</f>
        <v>8.0208999999999993</v>
      </c>
      <c r="AT355" s="7" t="str">
        <f>IFERROR(_xlfn.XLOOKUP(Table13[[#This Row],[Date]],'Raw Data'!$G:$G,'Raw Data'!$AN:$AN),"")</f>
        <v/>
      </c>
      <c r="AU355" s="7">
        <f>IFERROR(_xlfn.XLOOKUP(Table13[[#This Row],[Month Year]],'Modelling New'!$D:$D,'Modelling New'!$AO:$AO),"")</f>
        <v>8</v>
      </c>
      <c r="AV355" s="7">
        <f>SUMIF('Curtailment Records'!$C:$C,Table13[[#This Row],[Date]],'Curtailment Records'!$R:$R)/1000</f>
        <v>0</v>
      </c>
    </row>
    <row r="356" spans="1:48" x14ac:dyDescent="0.3">
      <c r="A356" s="100">
        <f t="shared" si="23"/>
        <v>46099</v>
      </c>
      <c r="B356" s="101">
        <f>YEAR(Table13[[#This Row],[Date]])+IF(MONTH(Table13[[#This Row],[Date]])&gt;=4,1,0)</f>
        <v>2026</v>
      </c>
      <c r="C356" s="7">
        <f>YEAR(Table13[[#This Row],[Date]])</f>
        <v>2026</v>
      </c>
      <c r="D356" s="102">
        <f>Table13[[#This Row],[Date]]-DAY(Table13[[#This Row],[Date]])+1</f>
        <v>46082</v>
      </c>
      <c r="E356" s="7">
        <f t="shared" si="20"/>
        <v>31</v>
      </c>
      <c r="F356" s="103" t="str">
        <f>IFERROR(_xlfn.XLOOKUP($A356,'Raw Data'!$G:$G,'Raw Data'!$AM:$AM),"")</f>
        <v/>
      </c>
      <c r="G356" s="104" t="str">
        <f>IFERROR(_xlfn.XLOOKUP($A356,'Raw Data'!$G:$G,'Raw Data'!$AB:$AB),"")</f>
        <v/>
      </c>
      <c r="H356" s="104"/>
      <c r="I356" s="104" t="str">
        <f>IFERROR(_xlfn.XLOOKUP($A356,'Raw Data'!$G:$G,'Raw Data'!$AC:$AC),"")</f>
        <v/>
      </c>
      <c r="J356" s="104"/>
      <c r="K356" s="104" t="str">
        <f>IFERROR(_xlfn.XLOOKUP($A356,'Raw Data'!$G:$G,'Raw Data'!AD:AD),"")</f>
        <v/>
      </c>
      <c r="L356" s="104" t="str">
        <f>IFERROR(_xlfn.XLOOKUP($A356,'Raw Data'!$G:$G,'Raw Data'!AE:AE),"")</f>
        <v/>
      </c>
      <c r="M356" s="104" t="str">
        <f>IFERROR(_xlfn.XLOOKUP($A356,'Raw Data'!$G:$G,'Raw Data'!AF:AF),"")</f>
        <v/>
      </c>
      <c r="N356" s="104" t="str">
        <f>IFERROR(_xlfn.XLOOKUP($A356,'Raw Data'!$G:$G,'Raw Data'!AG:AG),"")</f>
        <v/>
      </c>
      <c r="O356" s="105" t="str">
        <f>IFERROR(1-SUMIF('Plant BD'!$B:$B,$A356,'Plant BD'!$AM:$AM)/($AA356+SUMIF('Plant BD'!$B:$B,$A356,'Plant BD'!$AM:$AM)),"")</f>
        <v/>
      </c>
      <c r="P356" s="105"/>
      <c r="Q356" s="106"/>
      <c r="R356" s="105" t="str">
        <f>IFERROR(1-SUMIF('Grid BD'!$B:$B,$A356,'Grid BD'!$AE:$AE)/($AA356+SUMIF('Grid BD'!$B:$B,$A356,'Grid BD'!$AE:$AE)),"")</f>
        <v/>
      </c>
      <c r="T356" s="106"/>
      <c r="U356" s="107" t="str">
        <f t="shared" si="21"/>
        <v/>
      </c>
      <c r="V356" s="107"/>
      <c r="W356" s="108" t="str">
        <f t="shared" si="22"/>
        <v/>
      </c>
      <c r="X356" s="101" t="str">
        <f>IFERROR(_xlfn.XLOOKUP($A356,'Raw Data'!$G:$G,'Raw Data'!AI:AI),"")</f>
        <v/>
      </c>
      <c r="Y356" s="101" t="str">
        <f>IFERROR(_xlfn.XLOOKUP($A356,'Raw Data'!$G:$G,'Raw Data'!AJ:AJ),"")</f>
        <v/>
      </c>
      <c r="Z356" s="101" t="str">
        <f>IFERROR(_xlfn.XLOOKUP($A356,'Raw Data'!$G:$G,'Raw Data'!AK:AK),"")</f>
        <v/>
      </c>
      <c r="AA356" s="101" t="str">
        <f>IFERROR(_xlfn.XLOOKUP($A356,'Raw Data'!$G:$G,'Raw Data'!$AL:$AL)*(1+(_xlfn.XLOOKUP(Table13[[#This Row],[Month Year]],JMR!$A:$A,JMR!$J:$J))),"")</f>
        <v/>
      </c>
      <c r="AB356" s="101" t="str">
        <f>IFERROR(_xlfn.XLOOKUP($A356,'Raw Data'!$G:$G,'Raw Data'!H:H),"")</f>
        <v/>
      </c>
      <c r="AC356" s="67">
        <f>IFERROR(_xlfn.XLOOKUP($D356,'Modelling New'!$D:$D,'Modelling New'!P:P),"")</f>
        <v>6.7870967741935484</v>
      </c>
      <c r="AD356" s="101">
        <f>IFERROR(_xlfn.XLOOKUP($D356,'Modelling New'!$D:$D,'Modelling New'!$T:$T)*1000,"")</f>
        <v>38219.028541703687</v>
      </c>
      <c r="AE356" s="109">
        <f>IFERROR(_xlfn.XLOOKUP($D356,'Modelling New'!$D:$D,'Modelling New'!O:O),"")</f>
        <v>0.70205720444645292</v>
      </c>
      <c r="AF356" s="108">
        <f>IFERROR(_xlfn.XLOOKUP($D356,'Modelling New'!$D:$D,'Modelling New'!W:W),"")</f>
        <v>0.19853875781657757</v>
      </c>
      <c r="AG356" s="108">
        <f>IFERROR(_xlfn.XLOOKUP($D356,'Modelling New'!$D:$D,'Modelling New'!AE:AE),"")</f>
        <v>0.98040000000000005</v>
      </c>
      <c r="AH356" s="128">
        <f>IFERROR(_xlfn.XLOOKUP($D356,'Modelling New'!$D:$D,'Modelling New'!AF:AF),"")</f>
        <v>0.98</v>
      </c>
      <c r="AN356" s="105"/>
      <c r="AO356" s="108"/>
      <c r="AP356" s="108"/>
      <c r="AQ356" s="108"/>
      <c r="AR356" s="101">
        <f>'Basic Data'!$B$98/1000</f>
        <v>8.0208999999999993</v>
      </c>
      <c r="AT356" s="7" t="str">
        <f>IFERROR(_xlfn.XLOOKUP(Table13[[#This Row],[Date]],'Raw Data'!$G:$G,'Raw Data'!$AN:$AN),"")</f>
        <v/>
      </c>
      <c r="AU356" s="7">
        <f>IFERROR(_xlfn.XLOOKUP(Table13[[#This Row],[Month Year]],'Modelling New'!$D:$D,'Modelling New'!$AO:$AO),"")</f>
        <v>8</v>
      </c>
      <c r="AV356" s="7">
        <f>SUMIF('Curtailment Records'!$C:$C,Table13[[#This Row],[Date]],'Curtailment Records'!$R:$R)/1000</f>
        <v>0</v>
      </c>
    </row>
    <row r="357" spans="1:48" x14ac:dyDescent="0.3">
      <c r="A357" s="100">
        <f t="shared" si="23"/>
        <v>46100</v>
      </c>
      <c r="B357" s="101">
        <f>YEAR(Table13[[#This Row],[Date]])+IF(MONTH(Table13[[#This Row],[Date]])&gt;=4,1,0)</f>
        <v>2026</v>
      </c>
      <c r="C357" s="7">
        <f>YEAR(Table13[[#This Row],[Date]])</f>
        <v>2026</v>
      </c>
      <c r="D357" s="102">
        <f>Table13[[#This Row],[Date]]-DAY(Table13[[#This Row],[Date]])+1</f>
        <v>46082</v>
      </c>
      <c r="E357" s="7">
        <f t="shared" si="20"/>
        <v>31</v>
      </c>
      <c r="F357" s="103" t="str">
        <f>IFERROR(_xlfn.XLOOKUP($A357,'Raw Data'!$G:$G,'Raw Data'!$AM:$AM),"")</f>
        <v/>
      </c>
      <c r="G357" s="104" t="str">
        <f>IFERROR(_xlfn.XLOOKUP($A357,'Raw Data'!$G:$G,'Raw Data'!$AB:$AB),"")</f>
        <v/>
      </c>
      <c r="H357" s="104"/>
      <c r="I357" s="104" t="str">
        <f>IFERROR(_xlfn.XLOOKUP($A357,'Raw Data'!$G:$G,'Raw Data'!$AC:$AC),"")</f>
        <v/>
      </c>
      <c r="J357" s="104"/>
      <c r="K357" s="104" t="str">
        <f>IFERROR(_xlfn.XLOOKUP($A357,'Raw Data'!$G:$G,'Raw Data'!AD:AD),"")</f>
        <v/>
      </c>
      <c r="L357" s="104" t="str">
        <f>IFERROR(_xlfn.XLOOKUP($A357,'Raw Data'!$G:$G,'Raw Data'!AE:AE),"")</f>
        <v/>
      </c>
      <c r="M357" s="104" t="str">
        <f>IFERROR(_xlfn.XLOOKUP($A357,'Raw Data'!$G:$G,'Raw Data'!AF:AF),"")</f>
        <v/>
      </c>
      <c r="N357" s="104" t="str">
        <f>IFERROR(_xlfn.XLOOKUP($A357,'Raw Data'!$G:$G,'Raw Data'!AG:AG),"")</f>
        <v/>
      </c>
      <c r="O357" s="105" t="str">
        <f>IFERROR(1-SUMIF('Plant BD'!$B:$B,$A357,'Plant BD'!$AM:$AM)/($AA357+SUMIF('Plant BD'!$B:$B,$A357,'Plant BD'!$AM:$AM)),"")</f>
        <v/>
      </c>
      <c r="P357" s="105"/>
      <c r="Q357" s="106"/>
      <c r="R357" s="105" t="str">
        <f>IFERROR(1-SUMIF('Grid BD'!$B:$B,$A357,'Grid BD'!$AE:$AE)/($AA357+SUMIF('Grid BD'!$B:$B,$A357,'Grid BD'!$AE:$AE)),"")</f>
        <v/>
      </c>
      <c r="T357" s="106"/>
      <c r="U357" s="107" t="str">
        <f t="shared" si="21"/>
        <v/>
      </c>
      <c r="V357" s="107"/>
      <c r="W357" s="108" t="str">
        <f t="shared" si="22"/>
        <v/>
      </c>
      <c r="X357" s="101" t="str">
        <f>IFERROR(_xlfn.XLOOKUP($A357,'Raw Data'!$G:$G,'Raw Data'!AI:AI),"")</f>
        <v/>
      </c>
      <c r="Y357" s="101" t="str">
        <f>IFERROR(_xlfn.XLOOKUP($A357,'Raw Data'!$G:$G,'Raw Data'!AJ:AJ),"")</f>
        <v/>
      </c>
      <c r="Z357" s="101" t="str">
        <f>IFERROR(_xlfn.XLOOKUP($A357,'Raw Data'!$G:$G,'Raw Data'!AK:AK),"")</f>
        <v/>
      </c>
      <c r="AA357" s="101" t="str">
        <f>IFERROR(_xlfn.XLOOKUP($A357,'Raw Data'!$G:$G,'Raw Data'!$AL:$AL)*(1+(_xlfn.XLOOKUP(Table13[[#This Row],[Month Year]],JMR!$A:$A,JMR!$J:$J))),"")</f>
        <v/>
      </c>
      <c r="AB357" s="101" t="str">
        <f>IFERROR(_xlfn.XLOOKUP($A357,'Raw Data'!$G:$G,'Raw Data'!H:H),"")</f>
        <v/>
      </c>
      <c r="AC357" s="67">
        <f>IFERROR(_xlfn.XLOOKUP($D357,'Modelling New'!$D:$D,'Modelling New'!P:P),"")</f>
        <v>6.7870967741935484</v>
      </c>
      <c r="AD357" s="101">
        <f>IFERROR(_xlfn.XLOOKUP($D357,'Modelling New'!$D:$D,'Modelling New'!$T:$T)*1000,"")</f>
        <v>38219.028541703687</v>
      </c>
      <c r="AE357" s="109">
        <f>IFERROR(_xlfn.XLOOKUP($D357,'Modelling New'!$D:$D,'Modelling New'!O:O),"")</f>
        <v>0.70205720444645292</v>
      </c>
      <c r="AF357" s="108">
        <f>IFERROR(_xlfn.XLOOKUP($D357,'Modelling New'!$D:$D,'Modelling New'!W:W),"")</f>
        <v>0.19853875781657757</v>
      </c>
      <c r="AG357" s="108">
        <f>IFERROR(_xlfn.XLOOKUP($D357,'Modelling New'!$D:$D,'Modelling New'!AE:AE),"")</f>
        <v>0.98040000000000005</v>
      </c>
      <c r="AH357" s="128">
        <f>IFERROR(_xlfn.XLOOKUP($D357,'Modelling New'!$D:$D,'Modelling New'!AF:AF),"")</f>
        <v>0.98</v>
      </c>
      <c r="AN357" s="105"/>
      <c r="AO357" s="108"/>
      <c r="AP357" s="108"/>
      <c r="AQ357" s="108"/>
      <c r="AR357" s="101">
        <f>'Basic Data'!$B$98/1000</f>
        <v>8.0208999999999993</v>
      </c>
      <c r="AT357" s="7" t="str">
        <f>IFERROR(_xlfn.XLOOKUP(Table13[[#This Row],[Date]],'Raw Data'!$G:$G,'Raw Data'!$AN:$AN),"")</f>
        <v/>
      </c>
      <c r="AU357" s="7">
        <f>IFERROR(_xlfn.XLOOKUP(Table13[[#This Row],[Month Year]],'Modelling New'!$D:$D,'Modelling New'!$AO:$AO),"")</f>
        <v>8</v>
      </c>
      <c r="AV357" s="7">
        <f>SUMIF('Curtailment Records'!$C:$C,Table13[[#This Row],[Date]],'Curtailment Records'!$R:$R)/1000</f>
        <v>0</v>
      </c>
    </row>
    <row r="358" spans="1:48" x14ac:dyDescent="0.3">
      <c r="A358" s="100">
        <f t="shared" si="23"/>
        <v>46101</v>
      </c>
      <c r="B358" s="101">
        <f>YEAR(Table13[[#This Row],[Date]])+IF(MONTH(Table13[[#This Row],[Date]])&gt;=4,1,0)</f>
        <v>2026</v>
      </c>
      <c r="C358" s="7">
        <f>YEAR(Table13[[#This Row],[Date]])</f>
        <v>2026</v>
      </c>
      <c r="D358" s="102">
        <f>Table13[[#This Row],[Date]]-DAY(Table13[[#This Row],[Date]])+1</f>
        <v>46082</v>
      </c>
      <c r="E358" s="7">
        <f t="shared" si="20"/>
        <v>31</v>
      </c>
      <c r="F358" s="103" t="str">
        <f>IFERROR(_xlfn.XLOOKUP($A358,'Raw Data'!$G:$G,'Raw Data'!$AM:$AM),"")</f>
        <v/>
      </c>
      <c r="G358" s="104" t="str">
        <f>IFERROR(_xlfn.XLOOKUP($A358,'Raw Data'!$G:$G,'Raw Data'!$AB:$AB),"")</f>
        <v/>
      </c>
      <c r="H358" s="104"/>
      <c r="I358" s="104" t="str">
        <f>IFERROR(_xlfn.XLOOKUP($A358,'Raw Data'!$G:$G,'Raw Data'!$AC:$AC),"")</f>
        <v/>
      </c>
      <c r="J358" s="104"/>
      <c r="K358" s="104" t="str">
        <f>IFERROR(_xlfn.XLOOKUP($A358,'Raw Data'!$G:$G,'Raw Data'!AD:AD),"")</f>
        <v/>
      </c>
      <c r="L358" s="104" t="str">
        <f>IFERROR(_xlfn.XLOOKUP($A358,'Raw Data'!$G:$G,'Raw Data'!AE:AE),"")</f>
        <v/>
      </c>
      <c r="M358" s="104" t="str">
        <f>IFERROR(_xlfn.XLOOKUP($A358,'Raw Data'!$G:$G,'Raw Data'!AF:AF),"")</f>
        <v/>
      </c>
      <c r="N358" s="104" t="str">
        <f>IFERROR(_xlfn.XLOOKUP($A358,'Raw Data'!$G:$G,'Raw Data'!AG:AG),"")</f>
        <v/>
      </c>
      <c r="O358" s="105" t="str">
        <f>IFERROR(1-SUMIF('Plant BD'!$B:$B,$A358,'Plant BD'!$AM:$AM)/($AA358+SUMIF('Plant BD'!$B:$B,$A358,'Plant BD'!$AM:$AM)),"")</f>
        <v/>
      </c>
      <c r="P358" s="105"/>
      <c r="Q358" s="106"/>
      <c r="R358" s="105" t="str">
        <f>IFERROR(1-SUMIF('Grid BD'!$B:$B,$A358,'Grid BD'!$AE:$AE)/($AA358+SUMIF('Grid BD'!$B:$B,$A358,'Grid BD'!$AE:$AE)),"")</f>
        <v/>
      </c>
      <c r="T358" s="106"/>
      <c r="U358" s="107" t="str">
        <f t="shared" si="21"/>
        <v/>
      </c>
      <c r="V358" s="107"/>
      <c r="W358" s="108" t="str">
        <f t="shared" si="22"/>
        <v/>
      </c>
      <c r="X358" s="101" t="str">
        <f>IFERROR(_xlfn.XLOOKUP($A358,'Raw Data'!$G:$G,'Raw Data'!AI:AI),"")</f>
        <v/>
      </c>
      <c r="Y358" s="101" t="str">
        <f>IFERROR(_xlfn.XLOOKUP($A358,'Raw Data'!$G:$G,'Raw Data'!AJ:AJ),"")</f>
        <v/>
      </c>
      <c r="Z358" s="101" t="str">
        <f>IFERROR(_xlfn.XLOOKUP($A358,'Raw Data'!$G:$G,'Raw Data'!AK:AK),"")</f>
        <v/>
      </c>
      <c r="AA358" s="101" t="str">
        <f>IFERROR(_xlfn.XLOOKUP($A358,'Raw Data'!$G:$G,'Raw Data'!$AL:$AL)*(1+(_xlfn.XLOOKUP(Table13[[#This Row],[Month Year]],JMR!$A:$A,JMR!$J:$J))),"")</f>
        <v/>
      </c>
      <c r="AB358" s="101" t="str">
        <f>IFERROR(_xlfn.XLOOKUP($A358,'Raw Data'!$G:$G,'Raw Data'!H:H),"")</f>
        <v/>
      </c>
      <c r="AC358" s="67">
        <f>IFERROR(_xlfn.XLOOKUP($D358,'Modelling New'!$D:$D,'Modelling New'!P:P),"")</f>
        <v>6.7870967741935484</v>
      </c>
      <c r="AD358" s="101">
        <f>IFERROR(_xlfn.XLOOKUP($D358,'Modelling New'!$D:$D,'Modelling New'!$T:$T)*1000,"")</f>
        <v>38219.028541703687</v>
      </c>
      <c r="AE358" s="109">
        <f>IFERROR(_xlfn.XLOOKUP($D358,'Modelling New'!$D:$D,'Modelling New'!O:O),"")</f>
        <v>0.70205720444645292</v>
      </c>
      <c r="AF358" s="108">
        <f>IFERROR(_xlfn.XLOOKUP($D358,'Modelling New'!$D:$D,'Modelling New'!W:W),"")</f>
        <v>0.19853875781657757</v>
      </c>
      <c r="AG358" s="108">
        <f>IFERROR(_xlfn.XLOOKUP($D358,'Modelling New'!$D:$D,'Modelling New'!AE:AE),"")</f>
        <v>0.98040000000000005</v>
      </c>
      <c r="AH358" s="128">
        <f>IFERROR(_xlfn.XLOOKUP($D358,'Modelling New'!$D:$D,'Modelling New'!AF:AF),"")</f>
        <v>0.98</v>
      </c>
      <c r="AN358" s="105"/>
      <c r="AO358" s="108"/>
      <c r="AP358" s="108"/>
      <c r="AQ358" s="108"/>
      <c r="AR358" s="101">
        <f>'Basic Data'!$B$98/1000</f>
        <v>8.0208999999999993</v>
      </c>
      <c r="AT358" s="7" t="str">
        <f>IFERROR(_xlfn.XLOOKUP(Table13[[#This Row],[Date]],'Raw Data'!$G:$G,'Raw Data'!$AN:$AN),"")</f>
        <v/>
      </c>
      <c r="AU358" s="7">
        <f>IFERROR(_xlfn.XLOOKUP(Table13[[#This Row],[Month Year]],'Modelling New'!$D:$D,'Modelling New'!$AO:$AO),"")</f>
        <v>8</v>
      </c>
      <c r="AV358" s="7">
        <f>SUMIF('Curtailment Records'!$C:$C,Table13[[#This Row],[Date]],'Curtailment Records'!$R:$R)/1000</f>
        <v>0</v>
      </c>
    </row>
    <row r="359" spans="1:48" x14ac:dyDescent="0.3">
      <c r="A359" s="100">
        <f t="shared" si="23"/>
        <v>46102</v>
      </c>
      <c r="B359" s="101">
        <f>YEAR(Table13[[#This Row],[Date]])+IF(MONTH(Table13[[#This Row],[Date]])&gt;=4,1,0)</f>
        <v>2026</v>
      </c>
      <c r="C359" s="7">
        <f>YEAR(Table13[[#This Row],[Date]])</f>
        <v>2026</v>
      </c>
      <c r="D359" s="102">
        <f>Table13[[#This Row],[Date]]-DAY(Table13[[#This Row],[Date]])+1</f>
        <v>46082</v>
      </c>
      <c r="E359" s="7">
        <f t="shared" si="20"/>
        <v>31</v>
      </c>
      <c r="F359" s="103" t="str">
        <f>IFERROR(_xlfn.XLOOKUP($A359,'Raw Data'!$G:$G,'Raw Data'!$AM:$AM),"")</f>
        <v/>
      </c>
      <c r="G359" s="104" t="str">
        <f>IFERROR(_xlfn.XLOOKUP($A359,'Raw Data'!$G:$G,'Raw Data'!$AB:$AB),"")</f>
        <v/>
      </c>
      <c r="H359" s="104"/>
      <c r="I359" s="104" t="str">
        <f>IFERROR(_xlfn.XLOOKUP($A359,'Raw Data'!$G:$G,'Raw Data'!$AC:$AC),"")</f>
        <v/>
      </c>
      <c r="J359" s="104"/>
      <c r="K359" s="104" t="str">
        <f>IFERROR(_xlfn.XLOOKUP($A359,'Raw Data'!$G:$G,'Raw Data'!AD:AD),"")</f>
        <v/>
      </c>
      <c r="L359" s="104" t="str">
        <f>IFERROR(_xlfn.XLOOKUP($A359,'Raw Data'!$G:$G,'Raw Data'!AE:AE),"")</f>
        <v/>
      </c>
      <c r="M359" s="104" t="str">
        <f>IFERROR(_xlfn.XLOOKUP($A359,'Raw Data'!$G:$G,'Raw Data'!AF:AF),"")</f>
        <v/>
      </c>
      <c r="N359" s="104" t="str">
        <f>IFERROR(_xlfn.XLOOKUP($A359,'Raw Data'!$G:$G,'Raw Data'!AG:AG),"")</f>
        <v/>
      </c>
      <c r="O359" s="105" t="str">
        <f>IFERROR(1-SUMIF('Plant BD'!$B:$B,$A359,'Plant BD'!$AM:$AM)/($AA359+SUMIF('Plant BD'!$B:$B,$A359,'Plant BD'!$AM:$AM)),"")</f>
        <v/>
      </c>
      <c r="P359" s="105"/>
      <c r="Q359" s="106"/>
      <c r="R359" s="105" t="str">
        <f>IFERROR(1-SUMIF('Grid BD'!$B:$B,$A359,'Grid BD'!$AE:$AE)/($AA359+SUMIF('Grid BD'!$B:$B,$A359,'Grid BD'!$AE:$AE)),"")</f>
        <v/>
      </c>
      <c r="T359" s="106"/>
      <c r="U359" s="107" t="str">
        <f t="shared" si="21"/>
        <v/>
      </c>
      <c r="V359" s="107"/>
      <c r="W359" s="108" t="str">
        <f t="shared" si="22"/>
        <v/>
      </c>
      <c r="X359" s="101" t="str">
        <f>IFERROR(_xlfn.XLOOKUP($A359,'Raw Data'!$G:$G,'Raw Data'!AI:AI),"")</f>
        <v/>
      </c>
      <c r="Y359" s="101" t="str">
        <f>IFERROR(_xlfn.XLOOKUP($A359,'Raw Data'!$G:$G,'Raw Data'!AJ:AJ),"")</f>
        <v/>
      </c>
      <c r="Z359" s="101" t="str">
        <f>IFERROR(_xlfn.XLOOKUP($A359,'Raw Data'!$G:$G,'Raw Data'!AK:AK),"")</f>
        <v/>
      </c>
      <c r="AA359" s="101" t="str">
        <f>IFERROR(_xlfn.XLOOKUP($A359,'Raw Data'!$G:$G,'Raw Data'!$AL:$AL)*(1+(_xlfn.XLOOKUP(Table13[[#This Row],[Month Year]],JMR!$A:$A,JMR!$J:$J))),"")</f>
        <v/>
      </c>
      <c r="AB359" s="101" t="str">
        <f>IFERROR(_xlfn.XLOOKUP($A359,'Raw Data'!$G:$G,'Raw Data'!H:H),"")</f>
        <v/>
      </c>
      <c r="AC359" s="67">
        <f>IFERROR(_xlfn.XLOOKUP($D359,'Modelling New'!$D:$D,'Modelling New'!P:P),"")</f>
        <v>6.7870967741935484</v>
      </c>
      <c r="AD359" s="101">
        <f>IFERROR(_xlfn.XLOOKUP($D359,'Modelling New'!$D:$D,'Modelling New'!$T:$T)*1000,"")</f>
        <v>38219.028541703687</v>
      </c>
      <c r="AE359" s="109">
        <f>IFERROR(_xlfn.XLOOKUP($D359,'Modelling New'!$D:$D,'Modelling New'!O:O),"")</f>
        <v>0.70205720444645292</v>
      </c>
      <c r="AF359" s="108">
        <f>IFERROR(_xlfn.XLOOKUP($D359,'Modelling New'!$D:$D,'Modelling New'!W:W),"")</f>
        <v>0.19853875781657757</v>
      </c>
      <c r="AG359" s="108">
        <f>IFERROR(_xlfn.XLOOKUP($D359,'Modelling New'!$D:$D,'Modelling New'!AE:AE),"")</f>
        <v>0.98040000000000005</v>
      </c>
      <c r="AH359" s="128">
        <f>IFERROR(_xlfn.XLOOKUP($D359,'Modelling New'!$D:$D,'Modelling New'!AF:AF),"")</f>
        <v>0.98</v>
      </c>
      <c r="AN359" s="105"/>
      <c r="AO359" s="108"/>
      <c r="AP359" s="108"/>
      <c r="AQ359" s="108"/>
      <c r="AR359" s="101">
        <f>'Basic Data'!$B$98/1000</f>
        <v>8.0208999999999993</v>
      </c>
      <c r="AT359" s="7" t="str">
        <f>IFERROR(_xlfn.XLOOKUP(Table13[[#This Row],[Date]],'Raw Data'!$G:$G,'Raw Data'!$AN:$AN),"")</f>
        <v/>
      </c>
      <c r="AU359" s="7">
        <f>IFERROR(_xlfn.XLOOKUP(Table13[[#This Row],[Month Year]],'Modelling New'!$D:$D,'Modelling New'!$AO:$AO),"")</f>
        <v>8</v>
      </c>
      <c r="AV359" s="7">
        <f>SUMIF('Curtailment Records'!$C:$C,Table13[[#This Row],[Date]],'Curtailment Records'!$R:$R)/1000</f>
        <v>0</v>
      </c>
    </row>
    <row r="360" spans="1:48" x14ac:dyDescent="0.3">
      <c r="A360" s="100">
        <f t="shared" si="23"/>
        <v>46103</v>
      </c>
      <c r="B360" s="101">
        <f>YEAR(Table13[[#This Row],[Date]])+IF(MONTH(Table13[[#This Row],[Date]])&gt;=4,1,0)</f>
        <v>2026</v>
      </c>
      <c r="C360" s="7">
        <f>YEAR(Table13[[#This Row],[Date]])</f>
        <v>2026</v>
      </c>
      <c r="D360" s="102">
        <f>Table13[[#This Row],[Date]]-DAY(Table13[[#This Row],[Date]])+1</f>
        <v>46082</v>
      </c>
      <c r="E360" s="7">
        <f t="shared" si="20"/>
        <v>31</v>
      </c>
      <c r="F360" s="103" t="str">
        <f>IFERROR(_xlfn.XLOOKUP($A360,'Raw Data'!$G:$G,'Raw Data'!$AM:$AM),"")</f>
        <v/>
      </c>
      <c r="G360" s="104" t="str">
        <f>IFERROR(_xlfn.XLOOKUP($A360,'Raw Data'!$G:$G,'Raw Data'!$AB:$AB),"")</f>
        <v/>
      </c>
      <c r="H360" s="104"/>
      <c r="I360" s="104" t="str">
        <f>IFERROR(_xlfn.XLOOKUP($A360,'Raw Data'!$G:$G,'Raw Data'!$AC:$AC),"")</f>
        <v/>
      </c>
      <c r="J360" s="104"/>
      <c r="K360" s="104" t="str">
        <f>IFERROR(_xlfn.XLOOKUP($A360,'Raw Data'!$G:$G,'Raw Data'!AD:AD),"")</f>
        <v/>
      </c>
      <c r="L360" s="104" t="str">
        <f>IFERROR(_xlfn.XLOOKUP($A360,'Raw Data'!$G:$G,'Raw Data'!AE:AE),"")</f>
        <v/>
      </c>
      <c r="M360" s="104" t="str">
        <f>IFERROR(_xlfn.XLOOKUP($A360,'Raw Data'!$G:$G,'Raw Data'!AF:AF),"")</f>
        <v/>
      </c>
      <c r="N360" s="104" t="str">
        <f>IFERROR(_xlfn.XLOOKUP($A360,'Raw Data'!$G:$G,'Raw Data'!AG:AG),"")</f>
        <v/>
      </c>
      <c r="O360" s="105" t="str">
        <f>IFERROR(1-SUMIF('Plant BD'!$B:$B,$A360,'Plant BD'!$AM:$AM)/($AA360+SUMIF('Plant BD'!$B:$B,$A360,'Plant BD'!$AM:$AM)),"")</f>
        <v/>
      </c>
      <c r="P360" s="105"/>
      <c r="Q360" s="106"/>
      <c r="R360" s="105" t="str">
        <f>IFERROR(1-SUMIF('Grid BD'!$B:$B,$A360,'Grid BD'!$AE:$AE)/($AA360+SUMIF('Grid BD'!$B:$B,$A360,'Grid BD'!$AE:$AE)),"")</f>
        <v/>
      </c>
      <c r="T360" s="106"/>
      <c r="U360" s="107" t="str">
        <f t="shared" si="21"/>
        <v/>
      </c>
      <c r="V360" s="107"/>
      <c r="W360" s="108" t="str">
        <f t="shared" si="22"/>
        <v/>
      </c>
      <c r="X360" s="101" t="str">
        <f>IFERROR(_xlfn.XLOOKUP($A360,'Raw Data'!$G:$G,'Raw Data'!AI:AI),"")</f>
        <v/>
      </c>
      <c r="Y360" s="101" t="str">
        <f>IFERROR(_xlfn.XLOOKUP($A360,'Raw Data'!$G:$G,'Raw Data'!AJ:AJ),"")</f>
        <v/>
      </c>
      <c r="Z360" s="101" t="str">
        <f>IFERROR(_xlfn.XLOOKUP($A360,'Raw Data'!$G:$G,'Raw Data'!AK:AK),"")</f>
        <v/>
      </c>
      <c r="AA360" s="101" t="str">
        <f>IFERROR(_xlfn.XLOOKUP($A360,'Raw Data'!$G:$G,'Raw Data'!$AL:$AL)*(1+(_xlfn.XLOOKUP(Table13[[#This Row],[Month Year]],JMR!$A:$A,JMR!$J:$J))),"")</f>
        <v/>
      </c>
      <c r="AB360" s="101" t="str">
        <f>IFERROR(_xlfn.XLOOKUP($A360,'Raw Data'!$G:$G,'Raw Data'!H:H),"")</f>
        <v/>
      </c>
      <c r="AC360" s="67">
        <f>IFERROR(_xlfn.XLOOKUP($D360,'Modelling New'!$D:$D,'Modelling New'!P:P),"")</f>
        <v>6.7870967741935484</v>
      </c>
      <c r="AD360" s="101">
        <f>IFERROR(_xlfn.XLOOKUP($D360,'Modelling New'!$D:$D,'Modelling New'!$T:$T)*1000,"")</f>
        <v>38219.028541703687</v>
      </c>
      <c r="AE360" s="109">
        <f>IFERROR(_xlfn.XLOOKUP($D360,'Modelling New'!$D:$D,'Modelling New'!O:O),"")</f>
        <v>0.70205720444645292</v>
      </c>
      <c r="AF360" s="108">
        <f>IFERROR(_xlfn.XLOOKUP($D360,'Modelling New'!$D:$D,'Modelling New'!W:W),"")</f>
        <v>0.19853875781657757</v>
      </c>
      <c r="AG360" s="108">
        <f>IFERROR(_xlfn.XLOOKUP($D360,'Modelling New'!$D:$D,'Modelling New'!AE:AE),"")</f>
        <v>0.98040000000000005</v>
      </c>
      <c r="AH360" s="128">
        <f>IFERROR(_xlfn.XLOOKUP($D360,'Modelling New'!$D:$D,'Modelling New'!AF:AF),"")</f>
        <v>0.98</v>
      </c>
      <c r="AN360" s="105"/>
      <c r="AO360" s="108"/>
      <c r="AP360" s="108"/>
      <c r="AQ360" s="108"/>
      <c r="AR360" s="101">
        <f>'Basic Data'!$B$98/1000</f>
        <v>8.0208999999999993</v>
      </c>
      <c r="AT360" s="7" t="str">
        <f>IFERROR(_xlfn.XLOOKUP(Table13[[#This Row],[Date]],'Raw Data'!$G:$G,'Raw Data'!$AN:$AN),"")</f>
        <v/>
      </c>
      <c r="AU360" s="7">
        <f>IFERROR(_xlfn.XLOOKUP(Table13[[#This Row],[Month Year]],'Modelling New'!$D:$D,'Modelling New'!$AO:$AO),"")</f>
        <v>8</v>
      </c>
      <c r="AV360" s="7">
        <f>SUMIF('Curtailment Records'!$C:$C,Table13[[#This Row],[Date]],'Curtailment Records'!$R:$R)/1000</f>
        <v>0</v>
      </c>
    </row>
    <row r="361" spans="1:48" x14ac:dyDescent="0.3">
      <c r="A361" s="100">
        <f t="shared" si="23"/>
        <v>46104</v>
      </c>
      <c r="B361" s="101">
        <f>YEAR(Table13[[#This Row],[Date]])+IF(MONTH(Table13[[#This Row],[Date]])&gt;=4,1,0)</f>
        <v>2026</v>
      </c>
      <c r="C361" s="7">
        <f>YEAR(Table13[[#This Row],[Date]])</f>
        <v>2026</v>
      </c>
      <c r="D361" s="102">
        <f>Table13[[#This Row],[Date]]-DAY(Table13[[#This Row],[Date]])+1</f>
        <v>46082</v>
      </c>
      <c r="E361" s="7">
        <f t="shared" si="20"/>
        <v>31</v>
      </c>
      <c r="F361" s="103" t="str">
        <f>IFERROR(_xlfn.XLOOKUP($A361,'Raw Data'!$G:$G,'Raw Data'!$AM:$AM),"")</f>
        <v/>
      </c>
      <c r="G361" s="104" t="str">
        <f>IFERROR(_xlfn.XLOOKUP($A361,'Raw Data'!$G:$G,'Raw Data'!$AB:$AB),"")</f>
        <v/>
      </c>
      <c r="H361" s="104"/>
      <c r="I361" s="104" t="str">
        <f>IFERROR(_xlfn.XLOOKUP($A361,'Raw Data'!$G:$G,'Raw Data'!$AC:$AC),"")</f>
        <v/>
      </c>
      <c r="J361" s="104"/>
      <c r="K361" s="104" t="str">
        <f>IFERROR(_xlfn.XLOOKUP($A361,'Raw Data'!$G:$G,'Raw Data'!AD:AD),"")</f>
        <v/>
      </c>
      <c r="L361" s="104" t="str">
        <f>IFERROR(_xlfn.XLOOKUP($A361,'Raw Data'!$G:$G,'Raw Data'!AE:AE),"")</f>
        <v/>
      </c>
      <c r="M361" s="104" t="str">
        <f>IFERROR(_xlfn.XLOOKUP($A361,'Raw Data'!$G:$G,'Raw Data'!AF:AF),"")</f>
        <v/>
      </c>
      <c r="N361" s="104" t="str">
        <f>IFERROR(_xlfn.XLOOKUP($A361,'Raw Data'!$G:$G,'Raw Data'!AG:AG),"")</f>
        <v/>
      </c>
      <c r="O361" s="105" t="str">
        <f>IFERROR(1-SUMIF('Plant BD'!$B:$B,$A361,'Plant BD'!$AM:$AM)/($AA361+SUMIF('Plant BD'!$B:$B,$A361,'Plant BD'!$AM:$AM)),"")</f>
        <v/>
      </c>
      <c r="P361" s="105"/>
      <c r="Q361" s="106"/>
      <c r="R361" s="105" t="str">
        <f>IFERROR(1-SUMIF('Grid BD'!$B:$B,$A361,'Grid BD'!$AE:$AE)/($AA361+SUMIF('Grid BD'!$B:$B,$A361,'Grid BD'!$AE:$AE)),"")</f>
        <v/>
      </c>
      <c r="T361" s="106"/>
      <c r="U361" s="107" t="str">
        <f t="shared" si="21"/>
        <v/>
      </c>
      <c r="V361" s="107"/>
      <c r="W361" s="108" t="str">
        <f t="shared" si="22"/>
        <v/>
      </c>
      <c r="X361" s="101" t="str">
        <f>IFERROR(_xlfn.XLOOKUP($A361,'Raw Data'!$G:$G,'Raw Data'!AI:AI),"")</f>
        <v/>
      </c>
      <c r="Y361" s="101" t="str">
        <f>IFERROR(_xlfn.XLOOKUP($A361,'Raw Data'!$G:$G,'Raw Data'!AJ:AJ),"")</f>
        <v/>
      </c>
      <c r="Z361" s="101" t="str">
        <f>IFERROR(_xlfn.XLOOKUP($A361,'Raw Data'!$G:$G,'Raw Data'!AK:AK),"")</f>
        <v/>
      </c>
      <c r="AA361" s="101" t="str">
        <f>IFERROR(_xlfn.XLOOKUP($A361,'Raw Data'!$G:$G,'Raw Data'!$AL:$AL)*(1+(_xlfn.XLOOKUP(Table13[[#This Row],[Month Year]],JMR!$A:$A,JMR!$J:$J))),"")</f>
        <v/>
      </c>
      <c r="AB361" s="101" t="str">
        <f>IFERROR(_xlfn.XLOOKUP($A361,'Raw Data'!$G:$G,'Raw Data'!H:H),"")</f>
        <v/>
      </c>
      <c r="AC361" s="67">
        <f>IFERROR(_xlfn.XLOOKUP($D361,'Modelling New'!$D:$D,'Modelling New'!P:P),"")</f>
        <v>6.7870967741935484</v>
      </c>
      <c r="AD361" s="101">
        <f>IFERROR(_xlfn.XLOOKUP($D361,'Modelling New'!$D:$D,'Modelling New'!$T:$T)*1000,"")</f>
        <v>38219.028541703687</v>
      </c>
      <c r="AE361" s="109">
        <f>IFERROR(_xlfn.XLOOKUP($D361,'Modelling New'!$D:$D,'Modelling New'!O:O),"")</f>
        <v>0.70205720444645292</v>
      </c>
      <c r="AF361" s="108">
        <f>IFERROR(_xlfn.XLOOKUP($D361,'Modelling New'!$D:$D,'Modelling New'!W:W),"")</f>
        <v>0.19853875781657757</v>
      </c>
      <c r="AG361" s="108">
        <f>IFERROR(_xlfn.XLOOKUP($D361,'Modelling New'!$D:$D,'Modelling New'!AE:AE),"")</f>
        <v>0.98040000000000005</v>
      </c>
      <c r="AH361" s="128">
        <f>IFERROR(_xlfn.XLOOKUP($D361,'Modelling New'!$D:$D,'Modelling New'!AF:AF),"")</f>
        <v>0.98</v>
      </c>
      <c r="AN361" s="105"/>
      <c r="AO361" s="108"/>
      <c r="AP361" s="108"/>
      <c r="AQ361" s="108"/>
      <c r="AR361" s="101">
        <f>'Basic Data'!$B$98/1000</f>
        <v>8.0208999999999993</v>
      </c>
      <c r="AT361" s="7" t="str">
        <f>IFERROR(_xlfn.XLOOKUP(Table13[[#This Row],[Date]],'Raw Data'!$G:$G,'Raw Data'!$AN:$AN),"")</f>
        <v/>
      </c>
      <c r="AU361" s="7">
        <f>IFERROR(_xlfn.XLOOKUP(Table13[[#This Row],[Month Year]],'Modelling New'!$D:$D,'Modelling New'!$AO:$AO),"")</f>
        <v>8</v>
      </c>
      <c r="AV361" s="7">
        <f>SUMIF('Curtailment Records'!$C:$C,Table13[[#This Row],[Date]],'Curtailment Records'!$R:$R)/1000</f>
        <v>0</v>
      </c>
    </row>
    <row r="362" spans="1:48" x14ac:dyDescent="0.3">
      <c r="A362" s="100">
        <f t="shared" si="23"/>
        <v>46105</v>
      </c>
      <c r="B362" s="101">
        <f>YEAR(Table13[[#This Row],[Date]])+IF(MONTH(Table13[[#This Row],[Date]])&gt;=4,1,0)</f>
        <v>2026</v>
      </c>
      <c r="C362" s="7">
        <f>YEAR(Table13[[#This Row],[Date]])</f>
        <v>2026</v>
      </c>
      <c r="D362" s="102">
        <f>Table13[[#This Row],[Date]]-DAY(Table13[[#This Row],[Date]])+1</f>
        <v>46082</v>
      </c>
      <c r="E362" s="7">
        <f t="shared" si="20"/>
        <v>31</v>
      </c>
      <c r="F362" s="103" t="str">
        <f>IFERROR(_xlfn.XLOOKUP($A362,'Raw Data'!$G:$G,'Raw Data'!$AM:$AM),"")</f>
        <v/>
      </c>
      <c r="G362" s="104" t="str">
        <f>IFERROR(_xlfn.XLOOKUP($A362,'Raw Data'!$G:$G,'Raw Data'!$AB:$AB),"")</f>
        <v/>
      </c>
      <c r="H362" s="104"/>
      <c r="I362" s="104" t="str">
        <f>IFERROR(_xlfn.XLOOKUP($A362,'Raw Data'!$G:$G,'Raw Data'!$AC:$AC),"")</f>
        <v/>
      </c>
      <c r="J362" s="104"/>
      <c r="K362" s="104" t="str">
        <f>IFERROR(_xlfn.XLOOKUP($A362,'Raw Data'!$G:$G,'Raw Data'!AD:AD),"")</f>
        <v/>
      </c>
      <c r="L362" s="104" t="str">
        <f>IFERROR(_xlfn.XLOOKUP($A362,'Raw Data'!$G:$G,'Raw Data'!AE:AE),"")</f>
        <v/>
      </c>
      <c r="M362" s="104" t="str">
        <f>IFERROR(_xlfn.XLOOKUP($A362,'Raw Data'!$G:$G,'Raw Data'!AF:AF),"")</f>
        <v/>
      </c>
      <c r="N362" s="104" t="str">
        <f>IFERROR(_xlfn.XLOOKUP($A362,'Raw Data'!$G:$G,'Raw Data'!AG:AG),"")</f>
        <v/>
      </c>
      <c r="O362" s="105" t="str">
        <f>IFERROR(1-SUMIF('Plant BD'!$B:$B,$A362,'Plant BD'!$AM:$AM)/($AA362+SUMIF('Plant BD'!$B:$B,$A362,'Plant BD'!$AM:$AM)),"")</f>
        <v/>
      </c>
      <c r="P362" s="105"/>
      <c r="Q362" s="106"/>
      <c r="R362" s="105" t="str">
        <f>IFERROR(1-SUMIF('Grid BD'!$B:$B,$A362,'Grid BD'!$AE:$AE)/($AA362+SUMIF('Grid BD'!$B:$B,$A362,'Grid BD'!$AE:$AE)),"")</f>
        <v/>
      </c>
      <c r="T362" s="106"/>
      <c r="U362" s="107" t="str">
        <f t="shared" si="21"/>
        <v/>
      </c>
      <c r="V362" s="107"/>
      <c r="W362" s="108" t="str">
        <f t="shared" si="22"/>
        <v/>
      </c>
      <c r="X362" s="101" t="str">
        <f>IFERROR(_xlfn.XLOOKUP($A362,'Raw Data'!$G:$G,'Raw Data'!AI:AI),"")</f>
        <v/>
      </c>
      <c r="Y362" s="101" t="str">
        <f>IFERROR(_xlfn.XLOOKUP($A362,'Raw Data'!$G:$G,'Raw Data'!AJ:AJ),"")</f>
        <v/>
      </c>
      <c r="Z362" s="101" t="str">
        <f>IFERROR(_xlfn.XLOOKUP($A362,'Raw Data'!$G:$G,'Raw Data'!AK:AK),"")</f>
        <v/>
      </c>
      <c r="AA362" s="101" t="str">
        <f>IFERROR(_xlfn.XLOOKUP($A362,'Raw Data'!$G:$G,'Raw Data'!$AL:$AL)*(1+(_xlfn.XLOOKUP(Table13[[#This Row],[Month Year]],JMR!$A:$A,JMR!$J:$J))),"")</f>
        <v/>
      </c>
      <c r="AB362" s="101" t="str">
        <f>IFERROR(_xlfn.XLOOKUP($A362,'Raw Data'!$G:$G,'Raw Data'!H:H),"")</f>
        <v/>
      </c>
      <c r="AC362" s="67">
        <f>IFERROR(_xlfn.XLOOKUP($D362,'Modelling New'!$D:$D,'Modelling New'!P:P),"")</f>
        <v>6.7870967741935484</v>
      </c>
      <c r="AD362" s="101">
        <f>IFERROR(_xlfn.XLOOKUP($D362,'Modelling New'!$D:$D,'Modelling New'!$T:$T)*1000,"")</f>
        <v>38219.028541703687</v>
      </c>
      <c r="AE362" s="109">
        <f>IFERROR(_xlfn.XLOOKUP($D362,'Modelling New'!$D:$D,'Modelling New'!O:O),"")</f>
        <v>0.70205720444645292</v>
      </c>
      <c r="AF362" s="108">
        <f>IFERROR(_xlfn.XLOOKUP($D362,'Modelling New'!$D:$D,'Modelling New'!W:W),"")</f>
        <v>0.19853875781657757</v>
      </c>
      <c r="AG362" s="108">
        <f>IFERROR(_xlfn.XLOOKUP($D362,'Modelling New'!$D:$D,'Modelling New'!AE:AE),"")</f>
        <v>0.98040000000000005</v>
      </c>
      <c r="AH362" s="128">
        <f>IFERROR(_xlfn.XLOOKUP($D362,'Modelling New'!$D:$D,'Modelling New'!AF:AF),"")</f>
        <v>0.98</v>
      </c>
      <c r="AN362" s="105"/>
      <c r="AO362" s="108"/>
      <c r="AP362" s="108"/>
      <c r="AQ362" s="108"/>
      <c r="AR362" s="101">
        <f>'Basic Data'!$B$98/1000</f>
        <v>8.0208999999999993</v>
      </c>
      <c r="AT362" s="7" t="str">
        <f>IFERROR(_xlfn.XLOOKUP(Table13[[#This Row],[Date]],'Raw Data'!$G:$G,'Raw Data'!$AN:$AN),"")</f>
        <v/>
      </c>
      <c r="AU362" s="7">
        <f>IFERROR(_xlfn.XLOOKUP(Table13[[#This Row],[Month Year]],'Modelling New'!$D:$D,'Modelling New'!$AO:$AO),"")</f>
        <v>8</v>
      </c>
      <c r="AV362" s="7">
        <f>SUMIF('Curtailment Records'!$C:$C,Table13[[#This Row],[Date]],'Curtailment Records'!$R:$R)/1000</f>
        <v>0</v>
      </c>
    </row>
    <row r="363" spans="1:48" x14ac:dyDescent="0.3">
      <c r="A363" s="100">
        <f t="shared" si="23"/>
        <v>46106</v>
      </c>
      <c r="B363" s="101">
        <f>YEAR(Table13[[#This Row],[Date]])+IF(MONTH(Table13[[#This Row],[Date]])&gt;=4,1,0)</f>
        <v>2026</v>
      </c>
      <c r="C363" s="7">
        <f>YEAR(Table13[[#This Row],[Date]])</f>
        <v>2026</v>
      </c>
      <c r="D363" s="102">
        <f>Table13[[#This Row],[Date]]-DAY(Table13[[#This Row],[Date]])+1</f>
        <v>46082</v>
      </c>
      <c r="E363" s="7">
        <f t="shared" si="20"/>
        <v>31</v>
      </c>
      <c r="F363" s="103" t="str">
        <f>IFERROR(_xlfn.XLOOKUP($A363,'Raw Data'!$G:$G,'Raw Data'!$AM:$AM),"")</f>
        <v/>
      </c>
      <c r="G363" s="104" t="str">
        <f>IFERROR(_xlfn.XLOOKUP($A363,'Raw Data'!$G:$G,'Raw Data'!$AB:$AB),"")</f>
        <v/>
      </c>
      <c r="H363" s="104"/>
      <c r="I363" s="104" t="str">
        <f>IFERROR(_xlfn.XLOOKUP($A363,'Raw Data'!$G:$G,'Raw Data'!$AC:$AC),"")</f>
        <v/>
      </c>
      <c r="J363" s="104"/>
      <c r="K363" s="104" t="str">
        <f>IFERROR(_xlfn.XLOOKUP($A363,'Raw Data'!$G:$G,'Raw Data'!AD:AD),"")</f>
        <v/>
      </c>
      <c r="L363" s="104" t="str">
        <f>IFERROR(_xlfn.XLOOKUP($A363,'Raw Data'!$G:$G,'Raw Data'!AE:AE),"")</f>
        <v/>
      </c>
      <c r="M363" s="104" t="str">
        <f>IFERROR(_xlfn.XLOOKUP($A363,'Raw Data'!$G:$G,'Raw Data'!AF:AF),"")</f>
        <v/>
      </c>
      <c r="N363" s="104" t="str">
        <f>IFERROR(_xlfn.XLOOKUP($A363,'Raw Data'!$G:$G,'Raw Data'!AG:AG),"")</f>
        <v/>
      </c>
      <c r="O363" s="105" t="str">
        <f>IFERROR(1-SUMIF('Plant BD'!$B:$B,$A363,'Plant BD'!$AM:$AM)/($AA363+SUMIF('Plant BD'!$B:$B,$A363,'Plant BD'!$AM:$AM)),"")</f>
        <v/>
      </c>
      <c r="P363" s="105"/>
      <c r="Q363" s="106"/>
      <c r="R363" s="105" t="str">
        <f>IFERROR(1-SUMIF('Grid BD'!$B:$B,$A363,'Grid BD'!$AE:$AE)/($AA363+SUMIF('Grid BD'!$B:$B,$A363,'Grid BD'!$AE:$AE)),"")</f>
        <v/>
      </c>
      <c r="T363" s="106"/>
      <c r="U363" s="107" t="str">
        <f t="shared" si="21"/>
        <v/>
      </c>
      <c r="V363" s="107"/>
      <c r="W363" s="108" t="str">
        <f t="shared" si="22"/>
        <v/>
      </c>
      <c r="X363" s="101" t="str">
        <f>IFERROR(_xlfn.XLOOKUP($A363,'Raw Data'!$G:$G,'Raw Data'!AI:AI),"")</f>
        <v/>
      </c>
      <c r="Y363" s="101" t="str">
        <f>IFERROR(_xlfn.XLOOKUP($A363,'Raw Data'!$G:$G,'Raw Data'!AJ:AJ),"")</f>
        <v/>
      </c>
      <c r="Z363" s="101" t="str">
        <f>IFERROR(_xlfn.XLOOKUP($A363,'Raw Data'!$G:$G,'Raw Data'!AK:AK),"")</f>
        <v/>
      </c>
      <c r="AA363" s="101" t="str">
        <f>IFERROR(_xlfn.XLOOKUP($A363,'Raw Data'!$G:$G,'Raw Data'!$AL:$AL)*(1+(_xlfn.XLOOKUP(Table13[[#This Row],[Month Year]],JMR!$A:$A,JMR!$J:$J))),"")</f>
        <v/>
      </c>
      <c r="AB363" s="101" t="str">
        <f>IFERROR(_xlfn.XLOOKUP($A363,'Raw Data'!$G:$G,'Raw Data'!H:H),"")</f>
        <v/>
      </c>
      <c r="AC363" s="67">
        <f>IFERROR(_xlfn.XLOOKUP($D363,'Modelling New'!$D:$D,'Modelling New'!P:P),"")</f>
        <v>6.7870967741935484</v>
      </c>
      <c r="AD363" s="101">
        <f>IFERROR(_xlfn.XLOOKUP($D363,'Modelling New'!$D:$D,'Modelling New'!$T:$T)*1000,"")</f>
        <v>38219.028541703687</v>
      </c>
      <c r="AE363" s="109">
        <f>IFERROR(_xlfn.XLOOKUP($D363,'Modelling New'!$D:$D,'Modelling New'!O:O),"")</f>
        <v>0.70205720444645292</v>
      </c>
      <c r="AF363" s="108">
        <f>IFERROR(_xlfn.XLOOKUP($D363,'Modelling New'!$D:$D,'Modelling New'!W:W),"")</f>
        <v>0.19853875781657757</v>
      </c>
      <c r="AG363" s="108">
        <f>IFERROR(_xlfn.XLOOKUP($D363,'Modelling New'!$D:$D,'Modelling New'!AE:AE),"")</f>
        <v>0.98040000000000005</v>
      </c>
      <c r="AH363" s="128">
        <f>IFERROR(_xlfn.XLOOKUP($D363,'Modelling New'!$D:$D,'Modelling New'!AF:AF),"")</f>
        <v>0.98</v>
      </c>
      <c r="AN363" s="105"/>
      <c r="AO363" s="108"/>
      <c r="AP363" s="108"/>
      <c r="AQ363" s="108"/>
      <c r="AR363" s="101">
        <f>'Basic Data'!$B$98/1000</f>
        <v>8.0208999999999993</v>
      </c>
      <c r="AT363" s="7" t="str">
        <f>IFERROR(_xlfn.XLOOKUP(Table13[[#This Row],[Date]],'Raw Data'!$G:$G,'Raw Data'!$AN:$AN),"")</f>
        <v/>
      </c>
      <c r="AU363" s="7">
        <f>IFERROR(_xlfn.XLOOKUP(Table13[[#This Row],[Month Year]],'Modelling New'!$D:$D,'Modelling New'!$AO:$AO),"")</f>
        <v>8</v>
      </c>
      <c r="AV363" s="7">
        <f>SUMIF('Curtailment Records'!$C:$C,Table13[[#This Row],[Date]],'Curtailment Records'!$R:$R)/1000</f>
        <v>0</v>
      </c>
    </row>
    <row r="364" spans="1:48" x14ac:dyDescent="0.3">
      <c r="A364" s="100">
        <f t="shared" si="23"/>
        <v>46107</v>
      </c>
      <c r="B364" s="101">
        <f>YEAR(Table13[[#This Row],[Date]])+IF(MONTH(Table13[[#This Row],[Date]])&gt;=4,1,0)</f>
        <v>2026</v>
      </c>
      <c r="C364" s="7">
        <f>YEAR(Table13[[#This Row],[Date]])</f>
        <v>2026</v>
      </c>
      <c r="D364" s="102">
        <f>Table13[[#This Row],[Date]]-DAY(Table13[[#This Row],[Date]])+1</f>
        <v>46082</v>
      </c>
      <c r="E364" s="7">
        <f t="shared" si="20"/>
        <v>31</v>
      </c>
      <c r="F364" s="103" t="str">
        <f>IFERROR(_xlfn.XLOOKUP($A364,'Raw Data'!$G:$G,'Raw Data'!$AM:$AM),"")</f>
        <v/>
      </c>
      <c r="G364" s="104" t="str">
        <f>IFERROR(_xlfn.XLOOKUP($A364,'Raw Data'!$G:$G,'Raw Data'!$AB:$AB),"")</f>
        <v/>
      </c>
      <c r="H364" s="104"/>
      <c r="I364" s="104" t="str">
        <f>IFERROR(_xlfn.XLOOKUP($A364,'Raw Data'!$G:$G,'Raw Data'!$AC:$AC),"")</f>
        <v/>
      </c>
      <c r="J364" s="104"/>
      <c r="K364" s="104" t="str">
        <f>IFERROR(_xlfn.XLOOKUP($A364,'Raw Data'!$G:$G,'Raw Data'!AD:AD),"")</f>
        <v/>
      </c>
      <c r="L364" s="104" t="str">
        <f>IFERROR(_xlfn.XLOOKUP($A364,'Raw Data'!$G:$G,'Raw Data'!AE:AE),"")</f>
        <v/>
      </c>
      <c r="M364" s="104" t="str">
        <f>IFERROR(_xlfn.XLOOKUP($A364,'Raw Data'!$G:$G,'Raw Data'!AF:AF),"")</f>
        <v/>
      </c>
      <c r="N364" s="104" t="str">
        <f>IFERROR(_xlfn.XLOOKUP($A364,'Raw Data'!$G:$G,'Raw Data'!AG:AG),"")</f>
        <v/>
      </c>
      <c r="O364" s="105" t="str">
        <f>IFERROR(1-SUMIF('Plant BD'!$B:$B,$A364,'Plant BD'!$AM:$AM)/($AA364+SUMIF('Plant BD'!$B:$B,$A364,'Plant BD'!$AM:$AM)),"")</f>
        <v/>
      </c>
      <c r="P364" s="105"/>
      <c r="Q364" s="106"/>
      <c r="R364" s="105" t="str">
        <f>IFERROR(1-SUMIF('Grid BD'!$B:$B,$A364,'Grid BD'!$AE:$AE)/($AA364+SUMIF('Grid BD'!$B:$B,$A364,'Grid BD'!$AE:$AE)),"")</f>
        <v/>
      </c>
      <c r="T364" s="106"/>
      <c r="U364" s="107" t="str">
        <f t="shared" si="21"/>
        <v/>
      </c>
      <c r="V364" s="107"/>
      <c r="W364" s="108" t="str">
        <f t="shared" si="22"/>
        <v/>
      </c>
      <c r="X364" s="101" t="str">
        <f>IFERROR(_xlfn.XLOOKUP($A364,'Raw Data'!$G:$G,'Raw Data'!AI:AI),"")</f>
        <v/>
      </c>
      <c r="Y364" s="101" t="str">
        <f>IFERROR(_xlfn.XLOOKUP($A364,'Raw Data'!$G:$G,'Raw Data'!AJ:AJ),"")</f>
        <v/>
      </c>
      <c r="Z364" s="101" t="str">
        <f>IFERROR(_xlfn.XLOOKUP($A364,'Raw Data'!$G:$G,'Raw Data'!AK:AK),"")</f>
        <v/>
      </c>
      <c r="AA364" s="101" t="str">
        <f>IFERROR(_xlfn.XLOOKUP($A364,'Raw Data'!$G:$G,'Raw Data'!$AL:$AL)*(1+(_xlfn.XLOOKUP(Table13[[#This Row],[Month Year]],JMR!$A:$A,JMR!$J:$J))),"")</f>
        <v/>
      </c>
      <c r="AB364" s="101" t="str">
        <f>IFERROR(_xlfn.XLOOKUP($A364,'Raw Data'!$G:$G,'Raw Data'!H:H),"")</f>
        <v/>
      </c>
      <c r="AC364" s="67">
        <f>IFERROR(_xlfn.XLOOKUP($D364,'Modelling New'!$D:$D,'Modelling New'!P:P),"")</f>
        <v>6.7870967741935484</v>
      </c>
      <c r="AD364" s="101">
        <f>IFERROR(_xlfn.XLOOKUP($D364,'Modelling New'!$D:$D,'Modelling New'!$T:$T)*1000,"")</f>
        <v>38219.028541703687</v>
      </c>
      <c r="AE364" s="109">
        <f>IFERROR(_xlfn.XLOOKUP($D364,'Modelling New'!$D:$D,'Modelling New'!O:O),"")</f>
        <v>0.70205720444645292</v>
      </c>
      <c r="AF364" s="108">
        <f>IFERROR(_xlfn.XLOOKUP($D364,'Modelling New'!$D:$D,'Modelling New'!W:W),"")</f>
        <v>0.19853875781657757</v>
      </c>
      <c r="AG364" s="108">
        <f>IFERROR(_xlfn.XLOOKUP($D364,'Modelling New'!$D:$D,'Modelling New'!AE:AE),"")</f>
        <v>0.98040000000000005</v>
      </c>
      <c r="AH364" s="128">
        <f>IFERROR(_xlfn.XLOOKUP($D364,'Modelling New'!$D:$D,'Modelling New'!AF:AF),"")</f>
        <v>0.98</v>
      </c>
      <c r="AN364" s="105"/>
      <c r="AO364" s="108"/>
      <c r="AP364" s="108"/>
      <c r="AQ364" s="108"/>
      <c r="AR364" s="101">
        <f>'Basic Data'!$B$98/1000</f>
        <v>8.0208999999999993</v>
      </c>
      <c r="AT364" s="7" t="str">
        <f>IFERROR(_xlfn.XLOOKUP(Table13[[#This Row],[Date]],'Raw Data'!$G:$G,'Raw Data'!$AN:$AN),"")</f>
        <v/>
      </c>
      <c r="AU364" s="7">
        <f>IFERROR(_xlfn.XLOOKUP(Table13[[#This Row],[Month Year]],'Modelling New'!$D:$D,'Modelling New'!$AO:$AO),"")</f>
        <v>8</v>
      </c>
      <c r="AV364" s="7">
        <f>SUMIF('Curtailment Records'!$C:$C,Table13[[#This Row],[Date]],'Curtailment Records'!$R:$R)/1000</f>
        <v>0</v>
      </c>
    </row>
    <row r="365" spans="1:48" x14ac:dyDescent="0.3">
      <c r="A365" s="100">
        <f t="shared" si="23"/>
        <v>46108</v>
      </c>
      <c r="B365" s="101">
        <f>YEAR(Table13[[#This Row],[Date]])+IF(MONTH(Table13[[#This Row],[Date]])&gt;=4,1,0)</f>
        <v>2026</v>
      </c>
      <c r="C365" s="7">
        <f>YEAR(Table13[[#This Row],[Date]])</f>
        <v>2026</v>
      </c>
      <c r="D365" s="102">
        <f>Table13[[#This Row],[Date]]-DAY(Table13[[#This Row],[Date]])+1</f>
        <v>46082</v>
      </c>
      <c r="E365" s="7">
        <f t="shared" si="20"/>
        <v>31</v>
      </c>
      <c r="F365" s="103" t="str">
        <f>IFERROR(_xlfn.XLOOKUP($A365,'Raw Data'!$G:$G,'Raw Data'!$AM:$AM),"")</f>
        <v/>
      </c>
      <c r="G365" s="104" t="str">
        <f>IFERROR(_xlfn.XLOOKUP($A365,'Raw Data'!$G:$G,'Raw Data'!$AB:$AB),"")</f>
        <v/>
      </c>
      <c r="H365" s="104"/>
      <c r="I365" s="104" t="str">
        <f>IFERROR(_xlfn.XLOOKUP($A365,'Raw Data'!$G:$G,'Raw Data'!$AC:$AC),"")</f>
        <v/>
      </c>
      <c r="J365" s="104"/>
      <c r="K365" s="104" t="str">
        <f>IFERROR(_xlfn.XLOOKUP($A365,'Raw Data'!$G:$G,'Raw Data'!AD:AD),"")</f>
        <v/>
      </c>
      <c r="L365" s="104" t="str">
        <f>IFERROR(_xlfn.XLOOKUP($A365,'Raw Data'!$G:$G,'Raw Data'!AE:AE),"")</f>
        <v/>
      </c>
      <c r="M365" s="104" t="str">
        <f>IFERROR(_xlfn.XLOOKUP($A365,'Raw Data'!$G:$G,'Raw Data'!AF:AF),"")</f>
        <v/>
      </c>
      <c r="N365" s="104" t="str">
        <f>IFERROR(_xlfn.XLOOKUP($A365,'Raw Data'!$G:$G,'Raw Data'!AG:AG),"")</f>
        <v/>
      </c>
      <c r="O365" s="105" t="str">
        <f>IFERROR(1-SUMIF('Plant BD'!$B:$B,$A365,'Plant BD'!$AM:$AM)/($AA365+SUMIF('Plant BD'!$B:$B,$A365,'Plant BD'!$AM:$AM)),"")</f>
        <v/>
      </c>
      <c r="P365" s="105"/>
      <c r="Q365" s="106"/>
      <c r="R365" s="105" t="str">
        <f>IFERROR(1-SUMIF('Grid BD'!$B:$B,$A365,'Grid BD'!$AE:$AE)/($AA365+SUMIF('Grid BD'!$B:$B,$A365,'Grid BD'!$AE:$AE)),"")</f>
        <v/>
      </c>
      <c r="T365" s="106"/>
      <c r="U365" s="107" t="str">
        <f t="shared" si="21"/>
        <v/>
      </c>
      <c r="V365" s="107"/>
      <c r="W365" s="108" t="str">
        <f t="shared" si="22"/>
        <v/>
      </c>
      <c r="X365" s="101" t="str">
        <f>IFERROR(_xlfn.XLOOKUP($A365,'Raw Data'!$G:$G,'Raw Data'!AI:AI),"")</f>
        <v/>
      </c>
      <c r="Y365" s="101" t="str">
        <f>IFERROR(_xlfn.XLOOKUP($A365,'Raw Data'!$G:$G,'Raw Data'!AJ:AJ),"")</f>
        <v/>
      </c>
      <c r="Z365" s="101" t="str">
        <f>IFERROR(_xlfn.XLOOKUP($A365,'Raw Data'!$G:$G,'Raw Data'!AK:AK),"")</f>
        <v/>
      </c>
      <c r="AA365" s="101" t="str">
        <f>IFERROR(_xlfn.XLOOKUP($A365,'Raw Data'!$G:$G,'Raw Data'!$AL:$AL)*(1+(_xlfn.XLOOKUP(Table13[[#This Row],[Month Year]],JMR!$A:$A,JMR!$J:$J))),"")</f>
        <v/>
      </c>
      <c r="AB365" s="101" t="str">
        <f>IFERROR(_xlfn.XLOOKUP($A365,'Raw Data'!$G:$G,'Raw Data'!H:H),"")</f>
        <v/>
      </c>
      <c r="AC365" s="67">
        <f>IFERROR(_xlfn.XLOOKUP($D365,'Modelling New'!$D:$D,'Modelling New'!P:P),"")</f>
        <v>6.7870967741935484</v>
      </c>
      <c r="AD365" s="101">
        <f>IFERROR(_xlfn.XLOOKUP($D365,'Modelling New'!$D:$D,'Modelling New'!$T:$T)*1000,"")</f>
        <v>38219.028541703687</v>
      </c>
      <c r="AE365" s="109">
        <f>IFERROR(_xlfn.XLOOKUP($D365,'Modelling New'!$D:$D,'Modelling New'!O:O),"")</f>
        <v>0.70205720444645292</v>
      </c>
      <c r="AF365" s="108">
        <f>IFERROR(_xlfn.XLOOKUP($D365,'Modelling New'!$D:$D,'Modelling New'!W:W),"")</f>
        <v>0.19853875781657757</v>
      </c>
      <c r="AG365" s="108">
        <f>IFERROR(_xlfn.XLOOKUP($D365,'Modelling New'!$D:$D,'Modelling New'!AE:AE),"")</f>
        <v>0.98040000000000005</v>
      </c>
      <c r="AH365" s="128">
        <f>IFERROR(_xlfn.XLOOKUP($D365,'Modelling New'!$D:$D,'Modelling New'!AF:AF),"")</f>
        <v>0.98</v>
      </c>
      <c r="AN365" s="105"/>
      <c r="AO365" s="108"/>
      <c r="AP365" s="108"/>
      <c r="AQ365" s="108"/>
      <c r="AR365" s="101">
        <f>'Basic Data'!$B$98/1000</f>
        <v>8.0208999999999993</v>
      </c>
      <c r="AT365" s="7" t="str">
        <f>IFERROR(_xlfn.XLOOKUP(Table13[[#This Row],[Date]],'Raw Data'!$G:$G,'Raw Data'!$AN:$AN),"")</f>
        <v/>
      </c>
      <c r="AU365" s="7">
        <f>IFERROR(_xlfn.XLOOKUP(Table13[[#This Row],[Month Year]],'Modelling New'!$D:$D,'Modelling New'!$AO:$AO),"")</f>
        <v>8</v>
      </c>
      <c r="AV365" s="7">
        <f>SUMIF('Curtailment Records'!$C:$C,Table13[[#This Row],[Date]],'Curtailment Records'!$R:$R)/1000</f>
        <v>0</v>
      </c>
    </row>
    <row r="366" spans="1:48" x14ac:dyDescent="0.3">
      <c r="A366" s="100">
        <f t="shared" si="23"/>
        <v>46109</v>
      </c>
      <c r="B366" s="101">
        <f>YEAR(Table13[[#This Row],[Date]])+IF(MONTH(Table13[[#This Row],[Date]])&gt;=4,1,0)</f>
        <v>2026</v>
      </c>
      <c r="C366" s="7">
        <f>YEAR(Table13[[#This Row],[Date]])</f>
        <v>2026</v>
      </c>
      <c r="D366" s="102">
        <f>Table13[[#This Row],[Date]]-DAY(Table13[[#This Row],[Date]])+1</f>
        <v>46082</v>
      </c>
      <c r="E366" s="7">
        <f t="shared" si="20"/>
        <v>31</v>
      </c>
      <c r="F366" s="103" t="str">
        <f>IFERROR(_xlfn.XLOOKUP($A366,'Raw Data'!$G:$G,'Raw Data'!$AM:$AM),"")</f>
        <v/>
      </c>
      <c r="G366" s="104" t="str">
        <f>IFERROR(_xlfn.XLOOKUP($A366,'Raw Data'!$G:$G,'Raw Data'!$AB:$AB),"")</f>
        <v/>
      </c>
      <c r="H366" s="104"/>
      <c r="I366" s="104" t="str">
        <f>IFERROR(_xlfn.XLOOKUP($A366,'Raw Data'!$G:$G,'Raw Data'!$AC:$AC),"")</f>
        <v/>
      </c>
      <c r="J366" s="104"/>
      <c r="K366" s="104" t="str">
        <f>IFERROR(_xlfn.XLOOKUP($A366,'Raw Data'!$G:$G,'Raw Data'!AD:AD),"")</f>
        <v/>
      </c>
      <c r="L366" s="104" t="str">
        <f>IFERROR(_xlfn.XLOOKUP($A366,'Raw Data'!$G:$G,'Raw Data'!AE:AE),"")</f>
        <v/>
      </c>
      <c r="M366" s="104" t="str">
        <f>IFERROR(_xlfn.XLOOKUP($A366,'Raw Data'!$G:$G,'Raw Data'!AF:AF),"")</f>
        <v/>
      </c>
      <c r="N366" s="104" t="str">
        <f>IFERROR(_xlfn.XLOOKUP($A366,'Raw Data'!$G:$G,'Raw Data'!AG:AG),"")</f>
        <v/>
      </c>
      <c r="O366" s="105" t="str">
        <f>IFERROR(1-SUMIF('Plant BD'!$B:$B,$A366,'Plant BD'!$AM:$AM)/($AA366+SUMIF('Plant BD'!$B:$B,$A366,'Plant BD'!$AM:$AM)),"")</f>
        <v/>
      </c>
      <c r="P366" s="105"/>
      <c r="Q366" s="106"/>
      <c r="R366" s="105" t="str">
        <f>IFERROR(1-SUMIF('Grid BD'!$B:$B,$A366,'Grid BD'!$AE:$AE)/($AA366+SUMIF('Grid BD'!$B:$B,$A366,'Grid BD'!$AE:$AE)),"")</f>
        <v/>
      </c>
      <c r="T366" s="106"/>
      <c r="U366" s="107" t="str">
        <f t="shared" si="21"/>
        <v/>
      </c>
      <c r="V366" s="107"/>
      <c r="W366" s="108" t="str">
        <f t="shared" si="22"/>
        <v/>
      </c>
      <c r="X366" s="101" t="str">
        <f>IFERROR(_xlfn.XLOOKUP($A366,'Raw Data'!$G:$G,'Raw Data'!AI:AI),"")</f>
        <v/>
      </c>
      <c r="Y366" s="101" t="str">
        <f>IFERROR(_xlfn.XLOOKUP($A366,'Raw Data'!$G:$G,'Raw Data'!AJ:AJ),"")</f>
        <v/>
      </c>
      <c r="Z366" s="101" t="str">
        <f>IFERROR(_xlfn.XLOOKUP($A366,'Raw Data'!$G:$G,'Raw Data'!AK:AK),"")</f>
        <v/>
      </c>
      <c r="AA366" s="101" t="str">
        <f>IFERROR(_xlfn.XLOOKUP($A366,'Raw Data'!$G:$G,'Raw Data'!$AL:$AL)*(1+(_xlfn.XLOOKUP(Table13[[#This Row],[Month Year]],JMR!$A:$A,JMR!$J:$J))),"")</f>
        <v/>
      </c>
      <c r="AB366" s="101" t="str">
        <f>IFERROR(_xlfn.XLOOKUP($A366,'Raw Data'!$G:$G,'Raw Data'!H:H),"")</f>
        <v/>
      </c>
      <c r="AC366" s="67">
        <f>IFERROR(_xlfn.XLOOKUP($D366,'Modelling New'!$D:$D,'Modelling New'!P:P),"")</f>
        <v>6.7870967741935484</v>
      </c>
      <c r="AD366" s="101">
        <f>IFERROR(_xlfn.XLOOKUP($D366,'Modelling New'!$D:$D,'Modelling New'!$T:$T)*1000,"")</f>
        <v>38219.028541703687</v>
      </c>
      <c r="AE366" s="109">
        <f>IFERROR(_xlfn.XLOOKUP($D366,'Modelling New'!$D:$D,'Modelling New'!O:O),"")</f>
        <v>0.70205720444645292</v>
      </c>
      <c r="AF366" s="108">
        <f>IFERROR(_xlfn.XLOOKUP($D366,'Modelling New'!$D:$D,'Modelling New'!W:W),"")</f>
        <v>0.19853875781657757</v>
      </c>
      <c r="AG366" s="108">
        <f>IFERROR(_xlfn.XLOOKUP($D366,'Modelling New'!$D:$D,'Modelling New'!AE:AE),"")</f>
        <v>0.98040000000000005</v>
      </c>
      <c r="AH366" s="128">
        <f>IFERROR(_xlfn.XLOOKUP($D366,'Modelling New'!$D:$D,'Modelling New'!AF:AF),"")</f>
        <v>0.98</v>
      </c>
      <c r="AN366" s="105"/>
      <c r="AO366" s="108"/>
      <c r="AP366" s="108"/>
      <c r="AQ366" s="108"/>
      <c r="AR366" s="101">
        <f>'Basic Data'!$B$98/1000</f>
        <v>8.0208999999999993</v>
      </c>
      <c r="AT366" s="7" t="str">
        <f>IFERROR(_xlfn.XLOOKUP(Table13[[#This Row],[Date]],'Raw Data'!$G:$G,'Raw Data'!$AN:$AN),"")</f>
        <v/>
      </c>
      <c r="AU366" s="7">
        <f>IFERROR(_xlfn.XLOOKUP(Table13[[#This Row],[Month Year]],'Modelling New'!$D:$D,'Modelling New'!$AO:$AO),"")</f>
        <v>8</v>
      </c>
      <c r="AV366" s="7">
        <f>SUMIF('Curtailment Records'!$C:$C,Table13[[#This Row],[Date]],'Curtailment Records'!$R:$R)/1000</f>
        <v>0</v>
      </c>
    </row>
    <row r="367" spans="1:48" x14ac:dyDescent="0.3">
      <c r="A367" s="100">
        <f t="shared" si="23"/>
        <v>46110</v>
      </c>
      <c r="B367" s="101">
        <f>YEAR(Table13[[#This Row],[Date]])+IF(MONTH(Table13[[#This Row],[Date]])&gt;=4,1,0)</f>
        <v>2026</v>
      </c>
      <c r="C367" s="7">
        <f>YEAR(Table13[[#This Row],[Date]])</f>
        <v>2026</v>
      </c>
      <c r="D367" s="102">
        <f>Table13[[#This Row],[Date]]-DAY(Table13[[#This Row],[Date]])+1</f>
        <v>46082</v>
      </c>
      <c r="E367" s="7">
        <f t="shared" si="20"/>
        <v>31</v>
      </c>
      <c r="F367" s="103" t="str">
        <f>IFERROR(_xlfn.XLOOKUP($A367,'Raw Data'!$G:$G,'Raw Data'!$AM:$AM),"")</f>
        <v/>
      </c>
      <c r="G367" s="104" t="str">
        <f>IFERROR(_xlfn.XLOOKUP($A367,'Raw Data'!$G:$G,'Raw Data'!$AB:$AB),"")</f>
        <v/>
      </c>
      <c r="H367" s="104"/>
      <c r="I367" s="104" t="str">
        <f>IFERROR(_xlfn.XLOOKUP($A367,'Raw Data'!$G:$G,'Raw Data'!$AC:$AC),"")</f>
        <v/>
      </c>
      <c r="J367" s="104"/>
      <c r="K367" s="104" t="str">
        <f>IFERROR(_xlfn.XLOOKUP($A367,'Raw Data'!$G:$G,'Raw Data'!AD:AD),"")</f>
        <v/>
      </c>
      <c r="L367" s="104" t="str">
        <f>IFERROR(_xlfn.XLOOKUP($A367,'Raw Data'!$G:$G,'Raw Data'!AE:AE),"")</f>
        <v/>
      </c>
      <c r="M367" s="104" t="str">
        <f>IFERROR(_xlfn.XLOOKUP($A367,'Raw Data'!$G:$G,'Raw Data'!AF:AF),"")</f>
        <v/>
      </c>
      <c r="N367" s="104" t="str">
        <f>IFERROR(_xlfn.XLOOKUP($A367,'Raw Data'!$G:$G,'Raw Data'!AG:AG),"")</f>
        <v/>
      </c>
      <c r="O367" s="105" t="str">
        <f>IFERROR(1-SUMIF('Plant BD'!$B:$B,$A367,'Plant BD'!$AM:$AM)/($AA367+SUMIF('Plant BD'!$B:$B,$A367,'Plant BD'!$AM:$AM)),"")</f>
        <v/>
      </c>
      <c r="P367" s="105"/>
      <c r="Q367" s="106"/>
      <c r="R367" s="105" t="str">
        <f>IFERROR(1-SUMIF('Grid BD'!$B:$B,$A367,'Grid BD'!$AE:$AE)/($AA367+SUMIF('Grid BD'!$B:$B,$A367,'Grid BD'!$AE:$AE)),"")</f>
        <v/>
      </c>
      <c r="T367" s="106"/>
      <c r="U367" s="107" t="str">
        <f t="shared" si="21"/>
        <v/>
      </c>
      <c r="V367" s="107"/>
      <c r="W367" s="108" t="str">
        <f t="shared" si="22"/>
        <v/>
      </c>
      <c r="X367" s="101" t="str">
        <f>IFERROR(_xlfn.XLOOKUP($A367,'Raw Data'!$G:$G,'Raw Data'!AI:AI),"")</f>
        <v/>
      </c>
      <c r="Y367" s="101" t="str">
        <f>IFERROR(_xlfn.XLOOKUP($A367,'Raw Data'!$G:$G,'Raw Data'!AJ:AJ),"")</f>
        <v/>
      </c>
      <c r="Z367" s="101" t="str">
        <f>IFERROR(_xlfn.XLOOKUP($A367,'Raw Data'!$G:$G,'Raw Data'!AK:AK),"")</f>
        <v/>
      </c>
      <c r="AA367" s="101" t="str">
        <f>IFERROR(_xlfn.XLOOKUP($A367,'Raw Data'!$G:$G,'Raw Data'!$AL:$AL)*(1+(_xlfn.XLOOKUP(Table13[[#This Row],[Month Year]],JMR!$A:$A,JMR!$J:$J))),"")</f>
        <v/>
      </c>
      <c r="AB367" s="101" t="str">
        <f>IFERROR(_xlfn.XLOOKUP($A367,'Raw Data'!$G:$G,'Raw Data'!H:H),"")</f>
        <v/>
      </c>
      <c r="AC367" s="67">
        <f>IFERROR(_xlfn.XLOOKUP($D367,'Modelling New'!$D:$D,'Modelling New'!P:P),"")</f>
        <v>6.7870967741935484</v>
      </c>
      <c r="AD367" s="101">
        <f>IFERROR(_xlfn.XLOOKUP($D367,'Modelling New'!$D:$D,'Modelling New'!$T:$T)*1000,"")</f>
        <v>38219.028541703687</v>
      </c>
      <c r="AE367" s="109">
        <f>IFERROR(_xlfn.XLOOKUP($D367,'Modelling New'!$D:$D,'Modelling New'!O:O),"")</f>
        <v>0.70205720444645292</v>
      </c>
      <c r="AF367" s="108">
        <f>IFERROR(_xlfn.XLOOKUP($D367,'Modelling New'!$D:$D,'Modelling New'!W:W),"")</f>
        <v>0.19853875781657757</v>
      </c>
      <c r="AG367" s="108">
        <f>IFERROR(_xlfn.XLOOKUP($D367,'Modelling New'!$D:$D,'Modelling New'!AE:AE),"")</f>
        <v>0.98040000000000005</v>
      </c>
      <c r="AH367" s="128">
        <f>IFERROR(_xlfn.XLOOKUP($D367,'Modelling New'!$D:$D,'Modelling New'!AF:AF),"")</f>
        <v>0.98</v>
      </c>
      <c r="AN367" s="105"/>
      <c r="AO367" s="108"/>
      <c r="AP367" s="108"/>
      <c r="AQ367" s="108"/>
      <c r="AR367" s="101">
        <f>'Basic Data'!$B$98/1000</f>
        <v>8.0208999999999993</v>
      </c>
      <c r="AT367" s="7" t="str">
        <f>IFERROR(_xlfn.XLOOKUP(Table13[[#This Row],[Date]],'Raw Data'!$G:$G,'Raw Data'!$AN:$AN),"")</f>
        <v/>
      </c>
      <c r="AU367" s="7">
        <f>IFERROR(_xlfn.XLOOKUP(Table13[[#This Row],[Month Year]],'Modelling New'!$D:$D,'Modelling New'!$AO:$AO),"")</f>
        <v>8</v>
      </c>
      <c r="AV367" s="7">
        <f>SUMIF('Curtailment Records'!$C:$C,Table13[[#This Row],[Date]],'Curtailment Records'!$R:$R)/1000</f>
        <v>0</v>
      </c>
    </row>
    <row r="368" spans="1:48" x14ac:dyDescent="0.3">
      <c r="A368" s="100">
        <f t="shared" si="23"/>
        <v>46111</v>
      </c>
      <c r="B368" s="101">
        <f>YEAR(Table13[[#This Row],[Date]])+IF(MONTH(Table13[[#This Row],[Date]])&gt;=4,1,0)</f>
        <v>2026</v>
      </c>
      <c r="C368" s="7">
        <f>YEAR(Table13[[#This Row],[Date]])</f>
        <v>2026</v>
      </c>
      <c r="D368" s="102">
        <f>Table13[[#This Row],[Date]]-DAY(Table13[[#This Row],[Date]])+1</f>
        <v>46082</v>
      </c>
      <c r="E368" s="7">
        <f t="shared" si="20"/>
        <v>31</v>
      </c>
      <c r="F368" s="103" t="str">
        <f>IFERROR(_xlfn.XLOOKUP($A368,'Raw Data'!$G:$G,'Raw Data'!$AM:$AM),"")</f>
        <v/>
      </c>
      <c r="G368" s="104" t="str">
        <f>IFERROR(_xlfn.XLOOKUP($A368,'Raw Data'!$G:$G,'Raw Data'!$AB:$AB),"")</f>
        <v/>
      </c>
      <c r="H368" s="104"/>
      <c r="I368" s="104" t="str">
        <f>IFERROR(_xlfn.XLOOKUP($A368,'Raw Data'!$G:$G,'Raw Data'!$AC:$AC),"")</f>
        <v/>
      </c>
      <c r="J368" s="104"/>
      <c r="K368" s="104" t="str">
        <f>IFERROR(_xlfn.XLOOKUP($A368,'Raw Data'!$G:$G,'Raw Data'!AD:AD),"")</f>
        <v/>
      </c>
      <c r="L368" s="104" t="str">
        <f>IFERROR(_xlfn.XLOOKUP($A368,'Raw Data'!$G:$G,'Raw Data'!AE:AE),"")</f>
        <v/>
      </c>
      <c r="M368" s="104" t="str">
        <f>IFERROR(_xlfn.XLOOKUP($A368,'Raw Data'!$G:$G,'Raw Data'!AF:AF),"")</f>
        <v/>
      </c>
      <c r="N368" s="104" t="str">
        <f>IFERROR(_xlfn.XLOOKUP($A368,'Raw Data'!$G:$G,'Raw Data'!AG:AG),"")</f>
        <v/>
      </c>
      <c r="O368" s="105" t="str">
        <f>IFERROR(1-SUMIF('Plant BD'!$B:$B,$A368,'Plant BD'!$AM:$AM)/($AA368+SUMIF('Plant BD'!$B:$B,$A368,'Plant BD'!$AM:$AM)),"")</f>
        <v/>
      </c>
      <c r="P368" s="105"/>
      <c r="Q368" s="106"/>
      <c r="R368" s="105" t="str">
        <f>IFERROR(1-SUMIF('Grid BD'!$B:$B,$A368,'Grid BD'!$AE:$AE)/($AA368+SUMIF('Grid BD'!$B:$B,$A368,'Grid BD'!$AE:$AE)),"")</f>
        <v/>
      </c>
      <c r="T368" s="106"/>
      <c r="U368" s="107" t="str">
        <f t="shared" si="21"/>
        <v/>
      </c>
      <c r="V368" s="107"/>
      <c r="W368" s="108" t="str">
        <f t="shared" si="22"/>
        <v/>
      </c>
      <c r="X368" s="101" t="str">
        <f>IFERROR(_xlfn.XLOOKUP($A368,'Raw Data'!$G:$G,'Raw Data'!AI:AI),"")</f>
        <v/>
      </c>
      <c r="Y368" s="101" t="str">
        <f>IFERROR(_xlfn.XLOOKUP($A368,'Raw Data'!$G:$G,'Raw Data'!AJ:AJ),"")</f>
        <v/>
      </c>
      <c r="Z368" s="101" t="str">
        <f>IFERROR(_xlfn.XLOOKUP($A368,'Raw Data'!$G:$G,'Raw Data'!AK:AK),"")</f>
        <v/>
      </c>
      <c r="AA368" s="101" t="str">
        <f>IFERROR(_xlfn.XLOOKUP($A368,'Raw Data'!$G:$G,'Raw Data'!$AL:$AL)*(1+(_xlfn.XLOOKUP(Table13[[#This Row],[Month Year]],JMR!$A:$A,JMR!$J:$J))),"")</f>
        <v/>
      </c>
      <c r="AB368" s="101" t="str">
        <f>IFERROR(_xlfn.XLOOKUP($A368,'Raw Data'!$G:$G,'Raw Data'!H:H),"")</f>
        <v/>
      </c>
      <c r="AC368" s="67">
        <f>IFERROR(_xlfn.XLOOKUP($D368,'Modelling New'!$D:$D,'Modelling New'!P:P),"")</f>
        <v>6.7870967741935484</v>
      </c>
      <c r="AD368" s="101">
        <f>IFERROR(_xlfn.XLOOKUP($D368,'Modelling New'!$D:$D,'Modelling New'!$T:$T)*1000,"")</f>
        <v>38219.028541703687</v>
      </c>
      <c r="AE368" s="109">
        <f>IFERROR(_xlfn.XLOOKUP($D368,'Modelling New'!$D:$D,'Modelling New'!O:O),"")</f>
        <v>0.70205720444645292</v>
      </c>
      <c r="AF368" s="108">
        <f>IFERROR(_xlfn.XLOOKUP($D368,'Modelling New'!$D:$D,'Modelling New'!W:W),"")</f>
        <v>0.19853875781657757</v>
      </c>
      <c r="AG368" s="108">
        <f>IFERROR(_xlfn.XLOOKUP($D368,'Modelling New'!$D:$D,'Modelling New'!AE:AE),"")</f>
        <v>0.98040000000000005</v>
      </c>
      <c r="AH368" s="128">
        <f>IFERROR(_xlfn.XLOOKUP($D368,'Modelling New'!$D:$D,'Modelling New'!AF:AF),"")</f>
        <v>0.98</v>
      </c>
      <c r="AN368" s="105"/>
      <c r="AO368" s="108"/>
      <c r="AP368" s="108"/>
      <c r="AQ368" s="108"/>
      <c r="AR368" s="101">
        <f>'Basic Data'!$B$98/1000</f>
        <v>8.0208999999999993</v>
      </c>
      <c r="AT368" s="7" t="str">
        <f>IFERROR(_xlfn.XLOOKUP(Table13[[#This Row],[Date]],'Raw Data'!$G:$G,'Raw Data'!$AN:$AN),"")</f>
        <v/>
      </c>
      <c r="AU368" s="7">
        <f>IFERROR(_xlfn.XLOOKUP(Table13[[#This Row],[Month Year]],'Modelling New'!$D:$D,'Modelling New'!$AO:$AO),"")</f>
        <v>8</v>
      </c>
      <c r="AV368" s="7">
        <f>SUMIF('Curtailment Records'!$C:$C,Table13[[#This Row],[Date]],'Curtailment Records'!$R:$R)/1000</f>
        <v>0</v>
      </c>
    </row>
    <row r="369" spans="1:48" x14ac:dyDescent="0.3">
      <c r="A369" s="100">
        <f t="shared" si="23"/>
        <v>46112</v>
      </c>
      <c r="B369" s="101">
        <f>YEAR(Table13[[#This Row],[Date]])+IF(MONTH(Table13[[#This Row],[Date]])&gt;=4,1,0)</f>
        <v>2026</v>
      </c>
      <c r="C369" s="7">
        <f>YEAR(Table13[[#This Row],[Date]])</f>
        <v>2026</v>
      </c>
      <c r="D369" s="102">
        <f>Table13[[#This Row],[Date]]-DAY(Table13[[#This Row],[Date]])+1</f>
        <v>46082</v>
      </c>
      <c r="E369" s="7">
        <f t="shared" si="20"/>
        <v>31</v>
      </c>
      <c r="F369" s="103" t="str">
        <f>IFERROR(_xlfn.XLOOKUP($A369,'Raw Data'!$G:$G,'Raw Data'!$AM:$AM),"")</f>
        <v/>
      </c>
      <c r="G369" s="104" t="str">
        <f>IFERROR(_xlfn.XLOOKUP($A369,'Raw Data'!$G:$G,'Raw Data'!$AB:$AB),"")</f>
        <v/>
      </c>
      <c r="H369" s="104"/>
      <c r="I369" s="104" t="str">
        <f>IFERROR(_xlfn.XLOOKUP($A369,'Raw Data'!$G:$G,'Raw Data'!$AC:$AC),"")</f>
        <v/>
      </c>
      <c r="J369" s="104"/>
      <c r="K369" s="104" t="str">
        <f>IFERROR(_xlfn.XLOOKUP($A369,'Raw Data'!$G:$G,'Raw Data'!AD:AD),"")</f>
        <v/>
      </c>
      <c r="L369" s="104" t="str">
        <f>IFERROR(_xlfn.XLOOKUP($A369,'Raw Data'!$G:$G,'Raw Data'!AE:AE),"")</f>
        <v/>
      </c>
      <c r="M369" s="104" t="str">
        <f>IFERROR(_xlfn.XLOOKUP($A369,'Raw Data'!$G:$G,'Raw Data'!AF:AF),"")</f>
        <v/>
      </c>
      <c r="N369" s="104" t="str">
        <f>IFERROR(_xlfn.XLOOKUP($A369,'Raw Data'!$G:$G,'Raw Data'!AG:AG),"")</f>
        <v/>
      </c>
      <c r="O369" s="105" t="str">
        <f>IFERROR(1-SUMIF('Plant BD'!$B:$B,$A369,'Plant BD'!$AM:$AM)/($AA369+SUMIF('Plant BD'!$B:$B,$A369,'Plant BD'!$AM:$AM)),"")</f>
        <v/>
      </c>
      <c r="P369" s="105"/>
      <c r="Q369" s="106"/>
      <c r="R369" s="105" t="str">
        <f>IFERROR(1-SUMIF('Grid BD'!$B:$B,$A369,'Grid BD'!$AE:$AE)/($AA369+SUMIF('Grid BD'!$B:$B,$A369,'Grid BD'!$AE:$AE)),"")</f>
        <v/>
      </c>
      <c r="T369" s="106"/>
      <c r="U369" s="107" t="str">
        <f t="shared" si="21"/>
        <v/>
      </c>
      <c r="V369" s="107"/>
      <c r="W369" s="108" t="str">
        <f t="shared" si="22"/>
        <v/>
      </c>
      <c r="X369" s="101" t="str">
        <f>IFERROR(_xlfn.XLOOKUP($A369,'Raw Data'!$G:$G,'Raw Data'!AI:AI),"")</f>
        <v/>
      </c>
      <c r="Y369" s="101" t="str">
        <f>IFERROR(_xlfn.XLOOKUP($A369,'Raw Data'!$G:$G,'Raw Data'!AJ:AJ),"")</f>
        <v/>
      </c>
      <c r="Z369" s="101" t="str">
        <f>IFERROR(_xlfn.XLOOKUP($A369,'Raw Data'!$G:$G,'Raw Data'!AK:AK),"")</f>
        <v/>
      </c>
      <c r="AA369" s="101" t="str">
        <f>IFERROR(_xlfn.XLOOKUP($A369,'Raw Data'!$G:$G,'Raw Data'!$AL:$AL)*(1+(_xlfn.XLOOKUP(Table13[[#This Row],[Month Year]],JMR!$A:$A,JMR!$J:$J))),"")</f>
        <v/>
      </c>
      <c r="AB369" s="101" t="str">
        <f>IFERROR(_xlfn.XLOOKUP($A369,'Raw Data'!$G:$G,'Raw Data'!H:H),"")</f>
        <v/>
      </c>
      <c r="AC369" s="67">
        <f>IFERROR(_xlfn.XLOOKUP($D369,'Modelling New'!$D:$D,'Modelling New'!P:P),"")</f>
        <v>6.7870967741935484</v>
      </c>
      <c r="AD369" s="101">
        <f>IFERROR(_xlfn.XLOOKUP($D369,'Modelling New'!$D:$D,'Modelling New'!$T:$T)*1000,"")</f>
        <v>38219.028541703687</v>
      </c>
      <c r="AE369" s="109">
        <f>IFERROR(_xlfn.XLOOKUP($D369,'Modelling New'!$D:$D,'Modelling New'!O:O),"")</f>
        <v>0.70205720444645292</v>
      </c>
      <c r="AF369" s="108">
        <f>IFERROR(_xlfn.XLOOKUP($D369,'Modelling New'!$D:$D,'Modelling New'!W:W),"")</f>
        <v>0.19853875781657757</v>
      </c>
      <c r="AG369" s="108">
        <f>IFERROR(_xlfn.XLOOKUP($D369,'Modelling New'!$D:$D,'Modelling New'!AE:AE),"")</f>
        <v>0.98040000000000005</v>
      </c>
      <c r="AH369" s="128">
        <f>IFERROR(_xlfn.XLOOKUP($D369,'Modelling New'!$D:$D,'Modelling New'!AF:AF),"")</f>
        <v>0.98</v>
      </c>
      <c r="AN369" s="105"/>
      <c r="AO369" s="108"/>
      <c r="AP369" s="108"/>
      <c r="AQ369" s="108"/>
      <c r="AR369" s="101">
        <f>'Basic Data'!$B$98/1000</f>
        <v>8.0208999999999993</v>
      </c>
      <c r="AT369" s="7" t="str">
        <f>IFERROR(_xlfn.XLOOKUP(Table13[[#This Row],[Date]],'Raw Data'!$G:$G,'Raw Data'!$AN:$AN),"")</f>
        <v/>
      </c>
      <c r="AU369" s="7">
        <f>IFERROR(_xlfn.XLOOKUP(Table13[[#This Row],[Month Year]],'Modelling New'!$D:$D,'Modelling New'!$AO:$AO),"")</f>
        <v>8</v>
      </c>
      <c r="AV369" s="7">
        <f>SUMIF('Curtailment Records'!$C:$C,Table13[[#This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M818"/>
  <sheetViews>
    <sheetView workbookViewId="0">
      <selection activeCell="B98" sqref="B98"/>
    </sheetView>
  </sheetViews>
  <sheetFormatPr defaultRowHeight="14.4" x14ac:dyDescent="0.3"/>
  <cols>
    <col min="1" max="1" width="21.21875" bestFit="1" customWidth="1"/>
    <col min="2" max="2" width="19.77734375" style="2" bestFit="1" customWidth="1"/>
    <col min="3" max="3" width="18.21875" style="2" customWidth="1"/>
    <col min="5" max="5" width="25.5546875" bestFit="1" customWidth="1"/>
    <col min="7" max="7" width="19.77734375" hidden="1" customWidth="1"/>
    <col min="8" max="8" width="0" hidden="1" customWidth="1"/>
    <col min="9" max="9" width="18.21875" style="10" hidden="1" customWidth="1"/>
    <col min="10" max="10" width="14.77734375" style="2" hidden="1" customWidth="1"/>
    <col min="11" max="11" width="19.77734375" style="2" hidden="1" customWidth="1"/>
    <col min="12" max="12" width="0" hidden="1" customWidth="1"/>
  </cols>
  <sheetData>
    <row r="1" spans="1:13" s="13" customFormat="1" ht="28.8" x14ac:dyDescent="0.3">
      <c r="A1" s="24" t="s">
        <v>2</v>
      </c>
      <c r="B1" s="25" t="s">
        <v>38</v>
      </c>
      <c r="C1" s="38" t="s">
        <v>71</v>
      </c>
      <c r="E1" s="24" t="s">
        <v>21</v>
      </c>
      <c r="G1" s="24" t="s">
        <v>22</v>
      </c>
      <c r="I1" s="26" t="s">
        <v>66</v>
      </c>
      <c r="J1" s="25" t="s">
        <v>68</v>
      </c>
      <c r="K1" s="27" t="s">
        <v>71</v>
      </c>
      <c r="M1" s="28" t="s">
        <v>65</v>
      </c>
    </row>
    <row r="2" spans="1:13" x14ac:dyDescent="0.3">
      <c r="A2" s="3" t="s">
        <v>168</v>
      </c>
      <c r="B2" s="5">
        <v>2694.6</v>
      </c>
      <c r="C2" s="11">
        <f>IFERROR(B2/$B$98,"")</f>
        <v>0.33594733758057077</v>
      </c>
      <c r="E2" s="3" t="s">
        <v>5</v>
      </c>
      <c r="G2" s="3" t="s">
        <v>23</v>
      </c>
      <c r="I2" s="9" t="s">
        <v>146</v>
      </c>
      <c r="J2" s="6">
        <f>5*63</f>
        <v>315</v>
      </c>
      <c r="K2" s="12">
        <f>J2/36540</f>
        <v>8.6206896551724137E-3</v>
      </c>
      <c r="M2" t="s">
        <v>72</v>
      </c>
    </row>
    <row r="3" spans="1:13" x14ac:dyDescent="0.3">
      <c r="A3" s="3" t="s">
        <v>169</v>
      </c>
      <c r="B3" s="5">
        <v>2630.8</v>
      </c>
      <c r="C3" s="11">
        <f t="shared" ref="C3:C66" si="0">IFERROR(B3/$B$98,"")</f>
        <v>0.32799311797927916</v>
      </c>
      <c r="E3" s="3" t="s">
        <v>6</v>
      </c>
      <c r="G3" s="3" t="s">
        <v>24</v>
      </c>
      <c r="I3" s="9" t="s">
        <v>147</v>
      </c>
      <c r="J3" s="6">
        <f>4*63</f>
        <v>252</v>
      </c>
      <c r="K3" s="12">
        <f t="shared" ref="K3:K23" si="1">J3/36540</f>
        <v>6.8965517241379309E-3</v>
      </c>
      <c r="M3" t="s">
        <v>73</v>
      </c>
    </row>
    <row r="4" spans="1:13" x14ac:dyDescent="0.3">
      <c r="A4" s="3" t="s">
        <v>170</v>
      </c>
      <c r="B4" s="5">
        <v>2695.5</v>
      </c>
      <c r="C4" s="11">
        <f t="shared" si="0"/>
        <v>0.33605954444015013</v>
      </c>
      <c r="E4" s="3" t="s">
        <v>7</v>
      </c>
      <c r="G4" s="3" t="s">
        <v>25</v>
      </c>
      <c r="I4" s="9" t="s">
        <v>148</v>
      </c>
      <c r="J4" s="6">
        <f>3*63</f>
        <v>189</v>
      </c>
      <c r="K4" s="12">
        <f t="shared" si="1"/>
        <v>5.1724137931034482E-3</v>
      </c>
    </row>
    <row r="5" spans="1:13" x14ac:dyDescent="0.3">
      <c r="A5" s="3" t="s">
        <v>219</v>
      </c>
      <c r="B5" s="5">
        <v>669.6</v>
      </c>
      <c r="C5" s="11">
        <f t="shared" si="0"/>
        <v>8.348190352703562E-2</v>
      </c>
      <c r="E5" s="3" t="s">
        <v>8</v>
      </c>
      <c r="G5" s="3" t="s">
        <v>26</v>
      </c>
      <c r="I5" s="9" t="s">
        <v>149</v>
      </c>
      <c r="J5" s="6">
        <f>5*42</f>
        <v>210</v>
      </c>
      <c r="K5" s="12">
        <f t="shared" si="1"/>
        <v>5.7471264367816091E-3</v>
      </c>
    </row>
    <row r="6" spans="1:13" x14ac:dyDescent="0.3">
      <c r="A6" s="3" t="s">
        <v>220</v>
      </c>
      <c r="B6" s="5">
        <v>669.6</v>
      </c>
      <c r="C6" s="11">
        <f t="shared" si="0"/>
        <v>8.348190352703562E-2</v>
      </c>
      <c r="E6" s="3" t="s">
        <v>9</v>
      </c>
      <c r="G6" s="3" t="s">
        <v>27</v>
      </c>
      <c r="I6" s="9" t="s">
        <v>150</v>
      </c>
      <c r="J6" s="6">
        <f>4*42</f>
        <v>168</v>
      </c>
      <c r="K6" s="12">
        <f t="shared" si="1"/>
        <v>4.5977011494252873E-3</v>
      </c>
    </row>
    <row r="7" spans="1:13" x14ac:dyDescent="0.3">
      <c r="A7" s="3" t="s">
        <v>221</v>
      </c>
      <c r="B7" s="5">
        <v>674.99999999999989</v>
      </c>
      <c r="C7" s="11">
        <f t="shared" si="0"/>
        <v>8.4155144684511698E-2</v>
      </c>
      <c r="E7" s="3" t="s">
        <v>10</v>
      </c>
      <c r="G7" s="3" t="s">
        <v>28</v>
      </c>
      <c r="I7" s="9" t="s">
        <v>151</v>
      </c>
      <c r="J7" s="6">
        <f>3*42</f>
        <v>126</v>
      </c>
      <c r="K7" s="12">
        <f t="shared" si="1"/>
        <v>3.4482758620689655E-3</v>
      </c>
    </row>
    <row r="8" spans="1:13" x14ac:dyDescent="0.3">
      <c r="A8" s="3" t="s">
        <v>222</v>
      </c>
      <c r="B8" s="5">
        <v>680.4</v>
      </c>
      <c r="C8" s="11">
        <f t="shared" si="0"/>
        <v>8.4828385841987805E-2</v>
      </c>
      <c r="E8" s="3" t="s">
        <v>11</v>
      </c>
      <c r="G8" s="3" t="s">
        <v>29</v>
      </c>
      <c r="I8" s="9" t="s">
        <v>152</v>
      </c>
      <c r="J8" s="6">
        <v>63</v>
      </c>
      <c r="K8" s="12">
        <f t="shared" si="1"/>
        <v>1.7241379310344827E-3</v>
      </c>
    </row>
    <row r="9" spans="1:13" x14ac:dyDescent="0.3">
      <c r="A9" s="3" t="s">
        <v>223</v>
      </c>
      <c r="B9" s="5">
        <v>658.8</v>
      </c>
      <c r="C9" s="11">
        <f t="shared" si="0"/>
        <v>8.2135421212083434E-2</v>
      </c>
      <c r="E9" s="3" t="s">
        <v>219</v>
      </c>
      <c r="G9" s="3" t="s">
        <v>30</v>
      </c>
      <c r="I9" s="9" t="s">
        <v>153</v>
      </c>
      <c r="J9" s="6">
        <v>42</v>
      </c>
      <c r="K9" s="12">
        <f t="shared" si="1"/>
        <v>1.1494252873563218E-3</v>
      </c>
    </row>
    <row r="10" spans="1:13" x14ac:dyDescent="0.3">
      <c r="A10" s="3" t="s">
        <v>224</v>
      </c>
      <c r="B10" s="5">
        <v>658.8</v>
      </c>
      <c r="C10" s="11">
        <f t="shared" si="0"/>
        <v>8.2135421212083434E-2</v>
      </c>
      <c r="E10" s="3" t="s">
        <v>220</v>
      </c>
      <c r="G10" s="3" t="s">
        <v>31</v>
      </c>
      <c r="I10" s="9" t="s">
        <v>154</v>
      </c>
      <c r="J10" s="6">
        <f>5*63</f>
        <v>315</v>
      </c>
      <c r="K10" s="12">
        <f t="shared" si="1"/>
        <v>8.6206896551724137E-3</v>
      </c>
    </row>
    <row r="11" spans="1:13" x14ac:dyDescent="0.3">
      <c r="A11" s="3" t="s">
        <v>225</v>
      </c>
      <c r="B11" s="5">
        <v>658.8</v>
      </c>
      <c r="C11" s="11">
        <f t="shared" si="0"/>
        <v>8.2135421212083434E-2</v>
      </c>
      <c r="E11" s="3" t="s">
        <v>221</v>
      </c>
      <c r="G11" s="3"/>
      <c r="I11" s="9" t="s">
        <v>155</v>
      </c>
      <c r="J11" s="6">
        <f>4*63</f>
        <v>252</v>
      </c>
      <c r="K11" s="12">
        <f t="shared" si="1"/>
        <v>6.8965517241379309E-3</v>
      </c>
    </row>
    <row r="12" spans="1:13" x14ac:dyDescent="0.3">
      <c r="A12" s="3" t="s">
        <v>226</v>
      </c>
      <c r="B12" s="5">
        <v>658.8</v>
      </c>
      <c r="C12" s="11">
        <f t="shared" si="0"/>
        <v>8.2135421212083434E-2</v>
      </c>
      <c r="E12" s="3" t="s">
        <v>222</v>
      </c>
      <c r="G12" s="3"/>
      <c r="I12" s="9" t="s">
        <v>156</v>
      </c>
      <c r="J12" s="6">
        <f>3*63</f>
        <v>189</v>
      </c>
      <c r="K12" s="12">
        <f t="shared" si="1"/>
        <v>5.1724137931034482E-3</v>
      </c>
    </row>
    <row r="13" spans="1:13" x14ac:dyDescent="0.3">
      <c r="A13" s="3" t="s">
        <v>228</v>
      </c>
      <c r="B13" s="5">
        <v>671.76</v>
      </c>
      <c r="C13" s="11">
        <f t="shared" si="0"/>
        <v>8.375119999002606E-2</v>
      </c>
      <c r="E13" s="3" t="s">
        <v>223</v>
      </c>
      <c r="G13" s="3"/>
      <c r="I13" s="9" t="s">
        <v>157</v>
      </c>
      <c r="J13" s="6">
        <f>5*42</f>
        <v>210</v>
      </c>
      <c r="K13" s="12">
        <f t="shared" si="1"/>
        <v>5.7471264367816091E-3</v>
      </c>
    </row>
    <row r="14" spans="1:13" x14ac:dyDescent="0.3">
      <c r="A14" s="3" t="s">
        <v>229</v>
      </c>
      <c r="B14" s="5">
        <v>661.31999999999994</v>
      </c>
      <c r="C14" s="11">
        <f t="shared" si="0"/>
        <v>8.2449600418905603E-2</v>
      </c>
      <c r="E14" s="3" t="s">
        <v>224</v>
      </c>
      <c r="G14" s="3"/>
      <c r="I14" s="9" t="s">
        <v>158</v>
      </c>
      <c r="J14" s="6">
        <f>4*42</f>
        <v>168</v>
      </c>
      <c r="K14" s="12">
        <f t="shared" si="1"/>
        <v>4.5977011494252873E-3</v>
      </c>
    </row>
    <row r="15" spans="1:13" x14ac:dyDescent="0.3">
      <c r="A15" s="3" t="s">
        <v>230</v>
      </c>
      <c r="B15" s="5">
        <v>680.04000000000008</v>
      </c>
      <c r="C15" s="11">
        <f t="shared" si="0"/>
        <v>8.4783503098156077E-2</v>
      </c>
      <c r="E15" s="3" t="s">
        <v>225</v>
      </c>
      <c r="G15" s="3"/>
      <c r="I15" s="9" t="s">
        <v>159</v>
      </c>
      <c r="J15" s="6">
        <f>3*42</f>
        <v>126</v>
      </c>
      <c r="K15" s="12">
        <f t="shared" si="1"/>
        <v>3.4482758620689655E-3</v>
      </c>
    </row>
    <row r="16" spans="1:13" x14ac:dyDescent="0.3">
      <c r="A16" s="3" t="s">
        <v>227</v>
      </c>
      <c r="B16" s="5">
        <v>680.04000000000008</v>
      </c>
      <c r="C16" s="11">
        <f t="shared" si="0"/>
        <v>8.4783503098156077E-2</v>
      </c>
      <c r="E16" s="3" t="s">
        <v>226</v>
      </c>
      <c r="G16" s="3"/>
      <c r="I16" s="9" t="s">
        <v>160</v>
      </c>
      <c r="J16" s="6">
        <f>5*63</f>
        <v>315</v>
      </c>
      <c r="K16" s="12">
        <f t="shared" si="1"/>
        <v>8.6206896551724137E-3</v>
      </c>
    </row>
    <row r="17" spans="1:11" x14ac:dyDescent="0.3">
      <c r="A17" s="3" t="s">
        <v>171</v>
      </c>
      <c r="B17" s="5">
        <v>111.6</v>
      </c>
      <c r="C17" s="11">
        <f t="shared" si="0"/>
        <v>1.391365058783927E-2</v>
      </c>
      <c r="E17" s="3" t="s">
        <v>228</v>
      </c>
      <c r="G17" s="3"/>
      <c r="I17" s="9" t="s">
        <v>161</v>
      </c>
      <c r="J17" s="6">
        <f>4*63</f>
        <v>252</v>
      </c>
      <c r="K17" s="12">
        <f t="shared" si="1"/>
        <v>6.8965517241379309E-3</v>
      </c>
    </row>
    <row r="18" spans="1:11" x14ac:dyDescent="0.3">
      <c r="A18" s="3" t="s">
        <v>172</v>
      </c>
      <c r="B18" s="5">
        <v>111.6</v>
      </c>
      <c r="C18" s="11">
        <f t="shared" si="0"/>
        <v>1.391365058783927E-2</v>
      </c>
      <c r="E18" s="3" t="s">
        <v>229</v>
      </c>
      <c r="I18" s="9" t="s">
        <v>162</v>
      </c>
      <c r="J18" s="6">
        <f>3*63</f>
        <v>189</v>
      </c>
      <c r="K18" s="12">
        <f t="shared" si="1"/>
        <v>5.1724137931034482E-3</v>
      </c>
    </row>
    <row r="19" spans="1:11" x14ac:dyDescent="0.3">
      <c r="A19" s="3" t="s">
        <v>173</v>
      </c>
      <c r="B19" s="5">
        <v>111.6</v>
      </c>
      <c r="C19" s="11">
        <f t="shared" si="0"/>
        <v>1.391365058783927E-2</v>
      </c>
      <c r="E19" s="3" t="s">
        <v>230</v>
      </c>
      <c r="I19" s="9" t="s">
        <v>163</v>
      </c>
      <c r="J19" s="6">
        <f>5*42</f>
        <v>210</v>
      </c>
      <c r="K19" s="12">
        <f t="shared" si="1"/>
        <v>5.7471264367816091E-3</v>
      </c>
    </row>
    <row r="20" spans="1:11" x14ac:dyDescent="0.3">
      <c r="A20" s="3" t="s">
        <v>174</v>
      </c>
      <c r="B20" s="5">
        <v>111.6</v>
      </c>
      <c r="C20" s="11">
        <f t="shared" si="0"/>
        <v>1.391365058783927E-2</v>
      </c>
      <c r="E20" s="3" t="s">
        <v>227</v>
      </c>
      <c r="I20" s="9" t="s">
        <v>164</v>
      </c>
      <c r="J20" s="6">
        <f>4*42</f>
        <v>168</v>
      </c>
      <c r="K20" s="12">
        <f t="shared" si="1"/>
        <v>4.5977011494252873E-3</v>
      </c>
    </row>
    <row r="21" spans="1:11" x14ac:dyDescent="0.3">
      <c r="A21" s="3" t="s">
        <v>175</v>
      </c>
      <c r="B21" s="5">
        <v>111.6</v>
      </c>
      <c r="C21" s="11">
        <f t="shared" si="0"/>
        <v>1.391365058783927E-2</v>
      </c>
      <c r="E21" s="3" t="s">
        <v>12</v>
      </c>
      <c r="I21" s="9" t="s">
        <v>165</v>
      </c>
      <c r="J21" s="6">
        <f>3*42</f>
        <v>126</v>
      </c>
      <c r="K21" s="12">
        <f t="shared" si="1"/>
        <v>3.4482758620689655E-3</v>
      </c>
    </row>
    <row r="22" spans="1:11" x14ac:dyDescent="0.3">
      <c r="A22" s="3" t="s">
        <v>176</v>
      </c>
      <c r="B22" s="5">
        <v>111.6</v>
      </c>
      <c r="C22" s="11">
        <f t="shared" si="0"/>
        <v>1.391365058783927E-2</v>
      </c>
      <c r="E22" s="3" t="s">
        <v>13</v>
      </c>
      <c r="I22" s="9" t="s">
        <v>166</v>
      </c>
      <c r="J22" s="6">
        <v>63</v>
      </c>
      <c r="K22" s="12">
        <f t="shared" si="1"/>
        <v>1.7241379310344827E-3</v>
      </c>
    </row>
    <row r="23" spans="1:11" x14ac:dyDescent="0.3">
      <c r="A23" s="3" t="s">
        <v>177</v>
      </c>
      <c r="B23" s="5">
        <v>111.6</v>
      </c>
      <c r="C23" s="11">
        <f t="shared" si="0"/>
        <v>1.391365058783927E-2</v>
      </c>
      <c r="E23" s="3" t="s">
        <v>14</v>
      </c>
      <c r="I23" s="9" t="s">
        <v>167</v>
      </c>
      <c r="J23" s="6">
        <v>42</v>
      </c>
      <c r="K23" s="12">
        <f t="shared" si="1"/>
        <v>1.1494252873563218E-3</v>
      </c>
    </row>
    <row r="24" spans="1:11" x14ac:dyDescent="0.3">
      <c r="A24" s="3" t="s">
        <v>178</v>
      </c>
      <c r="B24" s="5">
        <v>111.6</v>
      </c>
      <c r="C24" s="11">
        <f t="shared" si="0"/>
        <v>1.391365058783927E-2</v>
      </c>
      <c r="E24" s="3" t="s">
        <v>15</v>
      </c>
      <c r="I24" s="9" t="s">
        <v>29</v>
      </c>
      <c r="J24" s="6"/>
      <c r="K24" s="6"/>
    </row>
    <row r="25" spans="1:11" x14ac:dyDescent="0.3">
      <c r="A25" s="3" t="s">
        <v>179</v>
      </c>
      <c r="B25" s="5">
        <v>111.6</v>
      </c>
      <c r="C25" s="11">
        <f t="shared" si="0"/>
        <v>1.391365058783927E-2</v>
      </c>
      <c r="E25" s="3" t="s">
        <v>16</v>
      </c>
      <c r="I25" s="9" t="s">
        <v>30</v>
      </c>
      <c r="J25" s="6"/>
      <c r="K25" s="6"/>
    </row>
    <row r="26" spans="1:11" x14ac:dyDescent="0.3">
      <c r="A26" s="3" t="s">
        <v>180</v>
      </c>
      <c r="B26" s="5">
        <v>111.6</v>
      </c>
      <c r="C26" s="11">
        <f t="shared" si="0"/>
        <v>1.391365058783927E-2</v>
      </c>
      <c r="E26" s="3" t="s">
        <v>17</v>
      </c>
      <c r="I26" s="9" t="s">
        <v>69</v>
      </c>
      <c r="J26" s="6"/>
      <c r="K26" s="6"/>
    </row>
    <row r="27" spans="1:11" x14ac:dyDescent="0.3">
      <c r="A27" s="3" t="s">
        <v>181</v>
      </c>
      <c r="B27" s="5">
        <v>111.6</v>
      </c>
      <c r="C27" s="11">
        <f t="shared" si="0"/>
        <v>1.391365058783927E-2</v>
      </c>
      <c r="E27" s="3" t="s">
        <v>18</v>
      </c>
      <c r="I27" s="9" t="s">
        <v>70</v>
      </c>
      <c r="J27" s="6"/>
      <c r="K27" s="6"/>
    </row>
    <row r="28" spans="1:11" x14ac:dyDescent="0.3">
      <c r="A28" s="3" t="s">
        <v>182</v>
      </c>
      <c r="B28" s="5">
        <v>111.6</v>
      </c>
      <c r="C28" s="11">
        <f t="shared" si="0"/>
        <v>1.391365058783927E-2</v>
      </c>
      <c r="E28" s="3" t="s">
        <v>19</v>
      </c>
    </row>
    <row r="29" spans="1:11" x14ac:dyDescent="0.3">
      <c r="A29" s="3" t="s">
        <v>183</v>
      </c>
      <c r="B29" s="5">
        <v>111.6</v>
      </c>
      <c r="C29" s="11">
        <f t="shared" si="0"/>
        <v>1.391365058783927E-2</v>
      </c>
      <c r="E29" s="3" t="s">
        <v>20</v>
      </c>
    </row>
    <row r="30" spans="1:11" x14ac:dyDescent="0.3">
      <c r="A30" s="3" t="s">
        <v>184</v>
      </c>
      <c r="B30" s="5">
        <v>111.6</v>
      </c>
      <c r="C30" s="11">
        <f t="shared" si="0"/>
        <v>1.391365058783927E-2</v>
      </c>
      <c r="E30" s="3" t="s">
        <v>32</v>
      </c>
    </row>
    <row r="31" spans="1:11" x14ac:dyDescent="0.3">
      <c r="A31" s="3" t="s">
        <v>185</v>
      </c>
      <c r="B31" s="5">
        <v>111.6</v>
      </c>
      <c r="C31" s="11">
        <f t="shared" si="0"/>
        <v>1.391365058783927E-2</v>
      </c>
      <c r="E31" s="3" t="s">
        <v>31</v>
      </c>
    </row>
    <row r="32" spans="1:11" x14ac:dyDescent="0.3">
      <c r="A32" s="3" t="s">
        <v>186</v>
      </c>
      <c r="B32" s="5">
        <v>113.4</v>
      </c>
      <c r="C32" s="11">
        <f t="shared" si="0"/>
        <v>1.4138064306997969E-2</v>
      </c>
      <c r="E32" s="3" t="s">
        <v>34</v>
      </c>
    </row>
    <row r="33" spans="1:5" x14ac:dyDescent="0.3">
      <c r="A33" s="3" t="s">
        <v>187</v>
      </c>
      <c r="B33" s="5">
        <v>113.4</v>
      </c>
      <c r="C33" s="11">
        <f t="shared" si="0"/>
        <v>1.4138064306997969E-2</v>
      </c>
      <c r="E33" s="3" t="s">
        <v>33</v>
      </c>
    </row>
    <row r="34" spans="1:5" x14ac:dyDescent="0.3">
      <c r="A34" s="3" t="s">
        <v>188</v>
      </c>
      <c r="B34" s="5">
        <v>113.4</v>
      </c>
      <c r="C34" s="11">
        <f t="shared" si="0"/>
        <v>1.4138064306997969E-2</v>
      </c>
      <c r="E34" s="3" t="s">
        <v>35</v>
      </c>
    </row>
    <row r="35" spans="1:5" x14ac:dyDescent="0.3">
      <c r="A35" s="3" t="s">
        <v>189</v>
      </c>
      <c r="B35" s="5">
        <v>113.4</v>
      </c>
      <c r="C35" s="11">
        <f t="shared" si="0"/>
        <v>1.4138064306997969E-2</v>
      </c>
      <c r="E35" s="3" t="s">
        <v>36</v>
      </c>
    </row>
    <row r="36" spans="1:5" x14ac:dyDescent="0.3">
      <c r="A36" s="3" t="s">
        <v>190</v>
      </c>
      <c r="B36" s="5">
        <v>113.4</v>
      </c>
      <c r="C36" s="11">
        <f t="shared" si="0"/>
        <v>1.4138064306997969E-2</v>
      </c>
      <c r="E36" s="3" t="s">
        <v>37</v>
      </c>
    </row>
    <row r="37" spans="1:5" x14ac:dyDescent="0.3">
      <c r="A37" s="3" t="s">
        <v>191</v>
      </c>
      <c r="B37" s="5">
        <v>113.4</v>
      </c>
      <c r="C37" s="11">
        <f t="shared" si="0"/>
        <v>1.4138064306997969E-2</v>
      </c>
      <c r="E37" s="4" t="s">
        <v>102</v>
      </c>
    </row>
    <row r="38" spans="1:5" x14ac:dyDescent="0.3">
      <c r="A38" s="3" t="s">
        <v>252</v>
      </c>
      <c r="B38" s="5">
        <v>113.4</v>
      </c>
      <c r="C38" s="11">
        <f t="shared" si="0"/>
        <v>1.4138064306997969E-2</v>
      </c>
      <c r="E38" s="4" t="s">
        <v>103</v>
      </c>
    </row>
    <row r="39" spans="1:5" x14ac:dyDescent="0.3">
      <c r="A39" s="3" t="s">
        <v>253</v>
      </c>
      <c r="B39" s="5">
        <v>113.4</v>
      </c>
      <c r="C39" s="11">
        <f t="shared" si="0"/>
        <v>1.4138064306997969E-2</v>
      </c>
    </row>
    <row r="40" spans="1:5" x14ac:dyDescent="0.3">
      <c r="A40" s="3" t="s">
        <v>254</v>
      </c>
      <c r="B40" s="5">
        <v>113.4</v>
      </c>
      <c r="C40" s="11">
        <f t="shared" si="0"/>
        <v>1.4138064306997969E-2</v>
      </c>
    </row>
    <row r="41" spans="1:5" x14ac:dyDescent="0.3">
      <c r="A41" s="3" t="s">
        <v>192</v>
      </c>
      <c r="B41" s="5">
        <v>113.4</v>
      </c>
      <c r="C41" s="11">
        <f t="shared" si="0"/>
        <v>1.4138064306997969E-2</v>
      </c>
    </row>
    <row r="42" spans="1:5" x14ac:dyDescent="0.3">
      <c r="A42" s="3" t="s">
        <v>193</v>
      </c>
      <c r="B42" s="5">
        <v>108</v>
      </c>
      <c r="C42" s="11">
        <f t="shared" si="0"/>
        <v>1.3464823149521875E-2</v>
      </c>
    </row>
    <row r="43" spans="1:5" x14ac:dyDescent="0.3">
      <c r="A43" s="3" t="s">
        <v>194</v>
      </c>
      <c r="B43" s="5">
        <v>108</v>
      </c>
      <c r="C43" s="11">
        <f t="shared" si="0"/>
        <v>1.3464823149521875E-2</v>
      </c>
    </row>
    <row r="44" spans="1:5" x14ac:dyDescent="0.3">
      <c r="A44" s="3" t="s">
        <v>195</v>
      </c>
      <c r="B44" s="5">
        <v>109.8</v>
      </c>
      <c r="C44" s="11">
        <f t="shared" si="0"/>
        <v>1.3689236868680572E-2</v>
      </c>
    </row>
    <row r="45" spans="1:5" x14ac:dyDescent="0.3">
      <c r="A45" s="3" t="s">
        <v>196</v>
      </c>
      <c r="B45" s="5">
        <v>109.8</v>
      </c>
      <c r="C45" s="11">
        <f t="shared" si="0"/>
        <v>1.3689236868680572E-2</v>
      </c>
    </row>
    <row r="46" spans="1:5" x14ac:dyDescent="0.3">
      <c r="A46" s="3" t="s">
        <v>197</v>
      </c>
      <c r="B46" s="5">
        <v>109.8</v>
      </c>
      <c r="C46" s="11">
        <f t="shared" si="0"/>
        <v>1.3689236868680572E-2</v>
      </c>
    </row>
    <row r="47" spans="1:5" x14ac:dyDescent="0.3">
      <c r="A47" s="3" t="s">
        <v>198</v>
      </c>
      <c r="B47" s="5">
        <v>109.8</v>
      </c>
      <c r="C47" s="11">
        <f t="shared" si="0"/>
        <v>1.3689236868680572E-2</v>
      </c>
    </row>
    <row r="48" spans="1:5" x14ac:dyDescent="0.3">
      <c r="A48" s="3" t="s">
        <v>199</v>
      </c>
      <c r="B48" s="5">
        <v>109.8</v>
      </c>
      <c r="C48" s="11">
        <f t="shared" si="0"/>
        <v>1.3689236868680572E-2</v>
      </c>
    </row>
    <row r="49" spans="1:3" x14ac:dyDescent="0.3">
      <c r="A49" s="3" t="s">
        <v>200</v>
      </c>
      <c r="B49" s="5">
        <v>109.8</v>
      </c>
      <c r="C49" s="11">
        <f t="shared" si="0"/>
        <v>1.3689236868680572E-2</v>
      </c>
    </row>
    <row r="50" spans="1:3" x14ac:dyDescent="0.3">
      <c r="A50" s="3" t="s">
        <v>201</v>
      </c>
      <c r="B50" s="5">
        <v>109.8</v>
      </c>
      <c r="C50" s="11">
        <f t="shared" si="0"/>
        <v>1.3689236868680572E-2</v>
      </c>
    </row>
    <row r="51" spans="1:3" x14ac:dyDescent="0.3">
      <c r="A51" s="3" t="s">
        <v>202</v>
      </c>
      <c r="B51" s="5">
        <v>109.8</v>
      </c>
      <c r="C51" s="11">
        <f t="shared" si="0"/>
        <v>1.3689236868680572E-2</v>
      </c>
    </row>
    <row r="52" spans="1:3" x14ac:dyDescent="0.3">
      <c r="A52" s="3" t="s">
        <v>203</v>
      </c>
      <c r="B52" s="5">
        <v>109.8</v>
      </c>
      <c r="C52" s="11">
        <f t="shared" si="0"/>
        <v>1.3689236868680572E-2</v>
      </c>
    </row>
    <row r="53" spans="1:3" x14ac:dyDescent="0.3">
      <c r="A53" s="3" t="s">
        <v>204</v>
      </c>
      <c r="B53" s="5">
        <v>109.8</v>
      </c>
      <c r="C53" s="11">
        <f t="shared" si="0"/>
        <v>1.3689236868680572E-2</v>
      </c>
    </row>
    <row r="54" spans="1:3" x14ac:dyDescent="0.3">
      <c r="A54" s="3" t="s">
        <v>205</v>
      </c>
      <c r="B54" s="5">
        <v>109.8</v>
      </c>
      <c r="C54" s="11">
        <f t="shared" si="0"/>
        <v>1.3689236868680572E-2</v>
      </c>
    </row>
    <row r="55" spans="1:3" x14ac:dyDescent="0.3">
      <c r="A55" s="3" t="s">
        <v>206</v>
      </c>
      <c r="B55" s="5">
        <v>109.8</v>
      </c>
      <c r="C55" s="11">
        <f t="shared" si="0"/>
        <v>1.3689236868680572E-2</v>
      </c>
    </row>
    <row r="56" spans="1:3" x14ac:dyDescent="0.3">
      <c r="A56" s="3" t="s">
        <v>207</v>
      </c>
      <c r="B56" s="5">
        <v>109.8</v>
      </c>
      <c r="C56" s="11">
        <f t="shared" si="0"/>
        <v>1.3689236868680572E-2</v>
      </c>
    </row>
    <row r="57" spans="1:3" x14ac:dyDescent="0.3">
      <c r="A57" s="3" t="s">
        <v>208</v>
      </c>
      <c r="B57" s="5">
        <v>109.8</v>
      </c>
      <c r="C57" s="11">
        <f t="shared" si="0"/>
        <v>1.3689236868680572E-2</v>
      </c>
    </row>
    <row r="58" spans="1:3" x14ac:dyDescent="0.3">
      <c r="A58" s="3" t="s">
        <v>209</v>
      </c>
      <c r="B58" s="5">
        <v>109.8</v>
      </c>
      <c r="C58" s="11">
        <f t="shared" si="0"/>
        <v>1.3689236868680572E-2</v>
      </c>
    </row>
    <row r="59" spans="1:3" x14ac:dyDescent="0.3">
      <c r="A59" s="3" t="s">
        <v>210</v>
      </c>
      <c r="B59" s="5">
        <v>109.8</v>
      </c>
      <c r="C59" s="11">
        <f t="shared" si="0"/>
        <v>1.3689236868680572E-2</v>
      </c>
    </row>
    <row r="60" spans="1:3" x14ac:dyDescent="0.3">
      <c r="A60" s="3" t="s">
        <v>211</v>
      </c>
      <c r="B60" s="5">
        <v>109.8</v>
      </c>
      <c r="C60" s="11">
        <f t="shared" si="0"/>
        <v>1.3689236868680572E-2</v>
      </c>
    </row>
    <row r="61" spans="1:3" x14ac:dyDescent="0.3">
      <c r="A61" s="3" t="s">
        <v>212</v>
      </c>
      <c r="B61" s="5">
        <v>109.8</v>
      </c>
      <c r="C61" s="11">
        <f t="shared" si="0"/>
        <v>1.3689236868680572E-2</v>
      </c>
    </row>
    <row r="62" spans="1:3" x14ac:dyDescent="0.3">
      <c r="A62" s="3" t="s">
        <v>255</v>
      </c>
      <c r="B62" s="5">
        <v>109.8</v>
      </c>
      <c r="C62" s="11">
        <f t="shared" si="0"/>
        <v>1.3689236868680572E-2</v>
      </c>
    </row>
    <row r="63" spans="1:3" x14ac:dyDescent="0.3">
      <c r="A63" s="3" t="s">
        <v>256</v>
      </c>
      <c r="B63" s="5">
        <v>109.8</v>
      </c>
      <c r="C63" s="11">
        <f t="shared" si="0"/>
        <v>1.3689236868680572E-2</v>
      </c>
    </row>
    <row r="64" spans="1:3" x14ac:dyDescent="0.3">
      <c r="A64" s="3" t="s">
        <v>257</v>
      </c>
      <c r="B64" s="5">
        <v>109.8</v>
      </c>
      <c r="C64" s="11">
        <f t="shared" si="0"/>
        <v>1.3689236868680572E-2</v>
      </c>
    </row>
    <row r="65" spans="1:3" x14ac:dyDescent="0.3">
      <c r="A65" s="3" t="s">
        <v>231</v>
      </c>
      <c r="B65" s="5">
        <v>111.6</v>
      </c>
      <c r="C65" s="11">
        <f t="shared" si="0"/>
        <v>1.391365058783927E-2</v>
      </c>
    </row>
    <row r="66" spans="1:3" x14ac:dyDescent="0.3">
      <c r="A66" s="3" t="s">
        <v>232</v>
      </c>
      <c r="B66" s="5">
        <v>111.6</v>
      </c>
      <c r="C66" s="11">
        <f t="shared" si="0"/>
        <v>1.391365058783927E-2</v>
      </c>
    </row>
    <row r="67" spans="1:3" x14ac:dyDescent="0.3">
      <c r="A67" s="3" t="s">
        <v>233</v>
      </c>
      <c r="B67" s="5">
        <v>111.6</v>
      </c>
      <c r="C67" s="11">
        <f t="shared" ref="C67:C130" si="2">IFERROR(B67/$B$98,"")</f>
        <v>1.391365058783927E-2</v>
      </c>
    </row>
    <row r="68" spans="1:3" x14ac:dyDescent="0.3">
      <c r="A68" s="3" t="s">
        <v>234</v>
      </c>
      <c r="B68" s="5">
        <v>112.32</v>
      </c>
      <c r="C68" s="11">
        <f t="shared" si="2"/>
        <v>1.4003416075502749E-2</v>
      </c>
    </row>
    <row r="69" spans="1:3" x14ac:dyDescent="0.3">
      <c r="A69" s="3" t="s">
        <v>235</v>
      </c>
      <c r="B69" s="5">
        <v>112.32</v>
      </c>
      <c r="C69" s="11">
        <f t="shared" si="2"/>
        <v>1.4003416075502749E-2</v>
      </c>
    </row>
    <row r="70" spans="1:3" x14ac:dyDescent="0.3">
      <c r="A70" s="3" t="s">
        <v>236</v>
      </c>
      <c r="B70" s="5">
        <v>112.32</v>
      </c>
      <c r="C70" s="11">
        <f t="shared" si="2"/>
        <v>1.4003416075502749E-2</v>
      </c>
    </row>
    <row r="71" spans="1:3" x14ac:dyDescent="0.3">
      <c r="A71" s="3" t="s">
        <v>237</v>
      </c>
      <c r="B71" s="5">
        <v>112.32</v>
      </c>
      <c r="C71" s="11">
        <f t="shared" si="2"/>
        <v>1.4003416075502749E-2</v>
      </c>
    </row>
    <row r="72" spans="1:3" x14ac:dyDescent="0.3">
      <c r="A72" s="3" t="s">
        <v>238</v>
      </c>
      <c r="B72" s="5">
        <v>109.8</v>
      </c>
      <c r="C72" s="11">
        <f t="shared" si="2"/>
        <v>1.3689236868680572E-2</v>
      </c>
    </row>
    <row r="73" spans="1:3" x14ac:dyDescent="0.3">
      <c r="A73" s="3" t="s">
        <v>239</v>
      </c>
      <c r="B73" s="5">
        <v>109.8</v>
      </c>
      <c r="C73" s="11">
        <f t="shared" si="2"/>
        <v>1.3689236868680572E-2</v>
      </c>
    </row>
    <row r="74" spans="1:3" x14ac:dyDescent="0.3">
      <c r="A74" s="3" t="s">
        <v>240</v>
      </c>
      <c r="B74" s="5">
        <v>109.8</v>
      </c>
      <c r="C74" s="11">
        <f t="shared" si="2"/>
        <v>1.3689236868680572E-2</v>
      </c>
    </row>
    <row r="75" spans="1:3" x14ac:dyDescent="0.3">
      <c r="A75" s="3" t="s">
        <v>241</v>
      </c>
      <c r="B75" s="5">
        <v>109.8</v>
      </c>
      <c r="C75" s="11">
        <f t="shared" si="2"/>
        <v>1.3689236868680572E-2</v>
      </c>
    </row>
    <row r="76" spans="1:3" x14ac:dyDescent="0.3">
      <c r="A76" s="3" t="s">
        <v>242</v>
      </c>
      <c r="B76" s="5">
        <v>109.8</v>
      </c>
      <c r="C76" s="11">
        <f t="shared" si="2"/>
        <v>1.3689236868680572E-2</v>
      </c>
    </row>
    <row r="77" spans="1:3" x14ac:dyDescent="0.3">
      <c r="A77" s="3" t="s">
        <v>243</v>
      </c>
      <c r="B77" s="5">
        <v>113.34</v>
      </c>
      <c r="C77" s="11">
        <f t="shared" si="2"/>
        <v>1.4130583849692679E-2</v>
      </c>
    </row>
    <row r="78" spans="1:3" x14ac:dyDescent="0.3">
      <c r="A78" s="3" t="s">
        <v>244</v>
      </c>
      <c r="B78" s="5">
        <v>113.34</v>
      </c>
      <c r="C78" s="11">
        <f t="shared" si="2"/>
        <v>1.4130583849692679E-2</v>
      </c>
    </row>
    <row r="79" spans="1:3" x14ac:dyDescent="0.3">
      <c r="A79" s="3" t="s">
        <v>245</v>
      </c>
      <c r="B79" s="5">
        <v>113.34</v>
      </c>
      <c r="C79" s="11">
        <f t="shared" si="2"/>
        <v>1.4130583849692679E-2</v>
      </c>
    </row>
    <row r="80" spans="1:3" x14ac:dyDescent="0.3">
      <c r="A80" s="3" t="s">
        <v>246</v>
      </c>
      <c r="B80" s="5">
        <v>113.34</v>
      </c>
      <c r="C80" s="11">
        <f t="shared" si="2"/>
        <v>1.4130583849692679E-2</v>
      </c>
    </row>
    <row r="81" spans="1:3" x14ac:dyDescent="0.3">
      <c r="A81" s="3" t="s">
        <v>247</v>
      </c>
      <c r="B81" s="5">
        <v>113.34</v>
      </c>
      <c r="C81" s="11">
        <f t="shared" si="2"/>
        <v>1.4130583849692679E-2</v>
      </c>
    </row>
    <row r="82" spans="1:3" x14ac:dyDescent="0.3">
      <c r="A82" s="3" t="s">
        <v>248</v>
      </c>
      <c r="B82" s="5">
        <v>113.34</v>
      </c>
      <c r="C82" s="11">
        <f t="shared" si="2"/>
        <v>1.4130583849692679E-2</v>
      </c>
    </row>
    <row r="83" spans="1:3" x14ac:dyDescent="0.3">
      <c r="A83" s="3" t="s">
        <v>249</v>
      </c>
      <c r="B83" s="5">
        <v>113.34</v>
      </c>
      <c r="C83" s="11">
        <f t="shared" si="2"/>
        <v>1.4130583849692679E-2</v>
      </c>
    </row>
    <row r="84" spans="1:3" x14ac:dyDescent="0.3">
      <c r="A84" s="3" t="s">
        <v>250</v>
      </c>
      <c r="B84" s="5">
        <v>113.34</v>
      </c>
      <c r="C84" s="11">
        <f t="shared" si="2"/>
        <v>1.4130583849692679E-2</v>
      </c>
    </row>
    <row r="85" spans="1:3" x14ac:dyDescent="0.3">
      <c r="A85" s="3" t="s">
        <v>251</v>
      </c>
      <c r="B85" s="5">
        <v>113.34</v>
      </c>
      <c r="C85" s="11">
        <f t="shared" si="2"/>
        <v>1.4130583849692679E-2</v>
      </c>
    </row>
    <row r="86" spans="1:3" x14ac:dyDescent="0.3">
      <c r="A86" s="3" t="s">
        <v>258</v>
      </c>
      <c r="B86" s="5">
        <v>113.34</v>
      </c>
      <c r="C86" s="11">
        <f t="shared" si="2"/>
        <v>1.4130583849692679E-2</v>
      </c>
    </row>
    <row r="87" spans="1:3" x14ac:dyDescent="0.3">
      <c r="A87" s="3" t="s">
        <v>259</v>
      </c>
      <c r="B87" s="5">
        <v>113.34</v>
      </c>
      <c r="C87" s="11">
        <f t="shared" si="2"/>
        <v>1.4130583849692679E-2</v>
      </c>
    </row>
    <row r="88" spans="1:3" x14ac:dyDescent="0.3">
      <c r="A88" s="3" t="s">
        <v>260</v>
      </c>
      <c r="B88" s="5">
        <v>113.34</v>
      </c>
      <c r="C88" s="11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1">
        <f t="shared" si="2"/>
        <v>0.33594733758057077</v>
      </c>
    </row>
    <row r="90" spans="1:3" x14ac:dyDescent="0.3">
      <c r="A90" s="3" t="s">
        <v>1</v>
      </c>
      <c r="B90" s="5">
        <v>2630.8</v>
      </c>
      <c r="C90" s="11">
        <f t="shared" si="2"/>
        <v>0.32799311797927916</v>
      </c>
    </row>
    <row r="91" spans="1:3" x14ac:dyDescent="0.3">
      <c r="A91" s="3" t="s">
        <v>213</v>
      </c>
      <c r="B91" s="5">
        <v>2695.5</v>
      </c>
      <c r="C91" s="11">
        <f t="shared" si="2"/>
        <v>0.33605954444015013</v>
      </c>
    </row>
    <row r="92" spans="1:3" x14ac:dyDescent="0.3">
      <c r="A92" s="3" t="s">
        <v>4</v>
      </c>
      <c r="B92" s="5">
        <v>2694.6</v>
      </c>
      <c r="C92" s="11">
        <f t="shared" si="2"/>
        <v>0.33594733758057077</v>
      </c>
    </row>
    <row r="93" spans="1:3" x14ac:dyDescent="0.3">
      <c r="A93" s="3" t="s">
        <v>214</v>
      </c>
      <c r="B93" s="5">
        <v>2630.8</v>
      </c>
      <c r="C93" s="11">
        <f t="shared" si="2"/>
        <v>0.32799311797927916</v>
      </c>
    </row>
    <row r="94" spans="1:3" x14ac:dyDescent="0.3">
      <c r="A94" s="3" t="s">
        <v>215</v>
      </c>
      <c r="B94" s="5">
        <v>2695.5</v>
      </c>
      <c r="C94" s="11">
        <f t="shared" si="2"/>
        <v>0.33605954444015013</v>
      </c>
    </row>
    <row r="95" spans="1:3" x14ac:dyDescent="0.3">
      <c r="A95" s="3" t="s">
        <v>216</v>
      </c>
      <c r="B95" s="5">
        <v>2694.6</v>
      </c>
      <c r="C95" s="11">
        <f t="shared" si="2"/>
        <v>0.33594733758057077</v>
      </c>
    </row>
    <row r="96" spans="1:3" x14ac:dyDescent="0.3">
      <c r="A96" s="3" t="s">
        <v>217</v>
      </c>
      <c r="B96" s="5">
        <v>2630.8</v>
      </c>
      <c r="C96" s="11">
        <f t="shared" si="2"/>
        <v>0.32799311797927916</v>
      </c>
    </row>
    <row r="97" spans="1:3" x14ac:dyDescent="0.3">
      <c r="A97" s="3" t="s">
        <v>218</v>
      </c>
      <c r="B97" s="5">
        <v>2695.5</v>
      </c>
      <c r="C97" s="11">
        <f t="shared" si="2"/>
        <v>0.33605954444015013</v>
      </c>
    </row>
    <row r="98" spans="1:3" x14ac:dyDescent="0.3">
      <c r="A98" s="3" t="s">
        <v>292</v>
      </c>
      <c r="B98" s="5">
        <v>8020.9</v>
      </c>
      <c r="C98" s="11">
        <f t="shared" si="2"/>
        <v>1</v>
      </c>
    </row>
    <row r="99" spans="1:3" x14ac:dyDescent="0.3">
      <c r="A99" s="3" t="s">
        <v>320</v>
      </c>
      <c r="B99" s="5">
        <v>11.16</v>
      </c>
      <c r="C99" s="11">
        <f t="shared" si="2"/>
        <v>1.391365058783927E-3</v>
      </c>
    </row>
    <row r="100" spans="1:3" x14ac:dyDescent="0.3">
      <c r="A100" s="3" t="s">
        <v>321</v>
      </c>
      <c r="B100" s="5">
        <v>11.16</v>
      </c>
      <c r="C100" s="11">
        <f t="shared" si="2"/>
        <v>1.391365058783927E-3</v>
      </c>
    </row>
    <row r="101" spans="1:3" x14ac:dyDescent="0.3">
      <c r="A101" s="3" t="s">
        <v>322</v>
      </c>
      <c r="B101" s="5">
        <v>11.16</v>
      </c>
      <c r="C101" s="11">
        <f t="shared" si="2"/>
        <v>1.391365058783927E-3</v>
      </c>
    </row>
    <row r="102" spans="1:3" x14ac:dyDescent="0.3">
      <c r="A102" s="3" t="s">
        <v>323</v>
      </c>
      <c r="B102" s="5">
        <v>11.16</v>
      </c>
      <c r="C102" s="11">
        <f t="shared" si="2"/>
        <v>1.391365058783927E-3</v>
      </c>
    </row>
    <row r="103" spans="1:3" x14ac:dyDescent="0.3">
      <c r="A103" s="3" t="s">
        <v>324</v>
      </c>
      <c r="B103" s="5">
        <v>11.16</v>
      </c>
      <c r="C103" s="11">
        <f t="shared" si="2"/>
        <v>1.391365058783927E-3</v>
      </c>
    </row>
    <row r="104" spans="1:3" x14ac:dyDescent="0.3">
      <c r="A104" s="3" t="s">
        <v>325</v>
      </c>
      <c r="B104" s="5">
        <v>11.16</v>
      </c>
      <c r="C104" s="11">
        <f t="shared" si="2"/>
        <v>1.391365058783927E-3</v>
      </c>
    </row>
    <row r="105" spans="1:3" x14ac:dyDescent="0.3">
      <c r="A105" s="3" t="s">
        <v>326</v>
      </c>
      <c r="B105" s="5">
        <v>11.16</v>
      </c>
      <c r="C105" s="11">
        <f t="shared" si="2"/>
        <v>1.391365058783927E-3</v>
      </c>
    </row>
    <row r="106" spans="1:3" x14ac:dyDescent="0.3">
      <c r="A106" s="3" t="s">
        <v>327</v>
      </c>
      <c r="B106" s="6">
        <v>11.16</v>
      </c>
      <c r="C106" s="11">
        <f t="shared" si="2"/>
        <v>1.391365058783927E-3</v>
      </c>
    </row>
    <row r="107" spans="1:3" x14ac:dyDescent="0.3">
      <c r="A107" s="3" t="s">
        <v>328</v>
      </c>
      <c r="B107" s="6">
        <v>11.16</v>
      </c>
      <c r="C107" s="11">
        <f t="shared" si="2"/>
        <v>1.391365058783927E-3</v>
      </c>
    </row>
    <row r="108" spans="1:3" x14ac:dyDescent="0.3">
      <c r="A108" s="3" t="s">
        <v>329</v>
      </c>
      <c r="B108" s="6">
        <v>11.16</v>
      </c>
      <c r="C108" s="11">
        <f t="shared" si="2"/>
        <v>1.391365058783927E-3</v>
      </c>
    </row>
    <row r="109" spans="1:3" x14ac:dyDescent="0.3">
      <c r="A109" s="3" t="s">
        <v>330</v>
      </c>
      <c r="B109" s="6">
        <v>11.16</v>
      </c>
      <c r="C109" s="11">
        <f t="shared" si="2"/>
        <v>1.391365058783927E-3</v>
      </c>
    </row>
    <row r="110" spans="1:3" x14ac:dyDescent="0.3">
      <c r="A110" s="3" t="s">
        <v>331</v>
      </c>
      <c r="B110" s="6">
        <v>11.16</v>
      </c>
      <c r="C110" s="11">
        <f t="shared" si="2"/>
        <v>1.391365058783927E-3</v>
      </c>
    </row>
    <row r="111" spans="1:3" x14ac:dyDescent="0.3">
      <c r="A111" s="3" t="s">
        <v>332</v>
      </c>
      <c r="B111" s="6">
        <v>11.16</v>
      </c>
      <c r="C111" s="11">
        <f t="shared" si="2"/>
        <v>1.391365058783927E-3</v>
      </c>
    </row>
    <row r="112" spans="1:3" x14ac:dyDescent="0.3">
      <c r="A112" s="3" t="s">
        <v>333</v>
      </c>
      <c r="B112" s="6">
        <v>11.16</v>
      </c>
      <c r="C112" s="11">
        <f t="shared" si="2"/>
        <v>1.391365058783927E-3</v>
      </c>
    </row>
    <row r="113" spans="1:3" x14ac:dyDescent="0.3">
      <c r="A113" s="3" t="s">
        <v>334</v>
      </c>
      <c r="B113" s="6">
        <v>11.16</v>
      </c>
      <c r="C113" s="11">
        <f t="shared" si="2"/>
        <v>1.391365058783927E-3</v>
      </c>
    </row>
    <row r="114" spans="1:3" x14ac:dyDescent="0.3">
      <c r="A114" s="3" t="s">
        <v>335</v>
      </c>
      <c r="B114" s="6">
        <v>11.16</v>
      </c>
      <c r="C114" s="11">
        <f t="shared" si="2"/>
        <v>1.391365058783927E-3</v>
      </c>
    </row>
    <row r="115" spans="1:3" x14ac:dyDescent="0.3">
      <c r="A115" s="3" t="s">
        <v>336</v>
      </c>
      <c r="B115" s="6">
        <v>11.16</v>
      </c>
      <c r="C115" s="11">
        <f t="shared" si="2"/>
        <v>1.391365058783927E-3</v>
      </c>
    </row>
    <row r="116" spans="1:3" x14ac:dyDescent="0.3">
      <c r="A116" s="3" t="s">
        <v>337</v>
      </c>
      <c r="B116" s="6">
        <v>11.16</v>
      </c>
      <c r="C116" s="11">
        <f t="shared" si="2"/>
        <v>1.391365058783927E-3</v>
      </c>
    </row>
    <row r="117" spans="1:3" x14ac:dyDescent="0.3">
      <c r="A117" s="3" t="s">
        <v>338</v>
      </c>
      <c r="B117" s="6">
        <v>11.16</v>
      </c>
      <c r="C117" s="11">
        <f t="shared" si="2"/>
        <v>1.391365058783927E-3</v>
      </c>
    </row>
    <row r="118" spans="1:3" x14ac:dyDescent="0.3">
      <c r="A118" s="3" t="s">
        <v>339</v>
      </c>
      <c r="B118" s="6">
        <v>11.16</v>
      </c>
      <c r="C118" s="11">
        <f t="shared" si="2"/>
        <v>1.391365058783927E-3</v>
      </c>
    </row>
    <row r="119" spans="1:3" x14ac:dyDescent="0.3">
      <c r="A119" s="3" t="s">
        <v>340</v>
      </c>
      <c r="B119" s="6">
        <v>11.16</v>
      </c>
      <c r="C119" s="11">
        <f t="shared" si="2"/>
        <v>1.391365058783927E-3</v>
      </c>
    </row>
    <row r="120" spans="1:3" x14ac:dyDescent="0.3">
      <c r="A120" s="3" t="s">
        <v>341</v>
      </c>
      <c r="B120" s="6">
        <v>11.16</v>
      </c>
      <c r="C120" s="11">
        <f t="shared" si="2"/>
        <v>1.391365058783927E-3</v>
      </c>
    </row>
    <row r="121" spans="1:3" x14ac:dyDescent="0.3">
      <c r="A121" s="3" t="s">
        <v>342</v>
      </c>
      <c r="B121" s="6">
        <v>11.16</v>
      </c>
      <c r="C121" s="11">
        <f t="shared" si="2"/>
        <v>1.391365058783927E-3</v>
      </c>
    </row>
    <row r="122" spans="1:3" x14ac:dyDescent="0.3">
      <c r="A122" s="3" t="s">
        <v>343</v>
      </c>
      <c r="B122" s="6">
        <v>11.16</v>
      </c>
      <c r="C122" s="11">
        <f t="shared" si="2"/>
        <v>1.391365058783927E-3</v>
      </c>
    </row>
    <row r="123" spans="1:3" x14ac:dyDescent="0.3">
      <c r="A123" s="3" t="s">
        <v>344</v>
      </c>
      <c r="B123" s="6">
        <v>11.16</v>
      </c>
      <c r="C123" s="11">
        <f t="shared" si="2"/>
        <v>1.391365058783927E-3</v>
      </c>
    </row>
    <row r="124" spans="1:3" x14ac:dyDescent="0.3">
      <c r="A124" s="3" t="s">
        <v>345</v>
      </c>
      <c r="B124" s="6">
        <v>11.16</v>
      </c>
      <c r="C124" s="11">
        <f t="shared" si="2"/>
        <v>1.391365058783927E-3</v>
      </c>
    </row>
    <row r="125" spans="1:3" x14ac:dyDescent="0.3">
      <c r="A125" s="3" t="s">
        <v>346</v>
      </c>
      <c r="B125" s="6">
        <v>11.16</v>
      </c>
      <c r="C125" s="11">
        <f t="shared" si="2"/>
        <v>1.391365058783927E-3</v>
      </c>
    </row>
    <row r="126" spans="1:3" x14ac:dyDescent="0.3">
      <c r="A126" s="3" t="s">
        <v>347</v>
      </c>
      <c r="B126" s="6">
        <v>11.16</v>
      </c>
      <c r="C126" s="11">
        <f t="shared" si="2"/>
        <v>1.391365058783927E-3</v>
      </c>
    </row>
    <row r="127" spans="1:3" x14ac:dyDescent="0.3">
      <c r="A127" s="3" t="s">
        <v>348</v>
      </c>
      <c r="B127" s="6">
        <v>11.16</v>
      </c>
      <c r="C127" s="11">
        <f t="shared" si="2"/>
        <v>1.391365058783927E-3</v>
      </c>
    </row>
    <row r="128" spans="1:3" x14ac:dyDescent="0.3">
      <c r="A128" s="3" t="s">
        <v>349</v>
      </c>
      <c r="B128" s="6">
        <v>11.16</v>
      </c>
      <c r="C128" s="11">
        <f t="shared" si="2"/>
        <v>1.391365058783927E-3</v>
      </c>
    </row>
    <row r="129" spans="1:3" x14ac:dyDescent="0.3">
      <c r="A129" s="3" t="s">
        <v>350</v>
      </c>
      <c r="B129" s="6">
        <v>11.16</v>
      </c>
      <c r="C129" s="11">
        <f t="shared" si="2"/>
        <v>1.391365058783927E-3</v>
      </c>
    </row>
    <row r="130" spans="1:3" x14ac:dyDescent="0.3">
      <c r="A130" s="3" t="s">
        <v>351</v>
      </c>
      <c r="B130" s="6">
        <v>11.16</v>
      </c>
      <c r="C130" s="11">
        <f t="shared" si="2"/>
        <v>1.391365058783927E-3</v>
      </c>
    </row>
    <row r="131" spans="1:3" x14ac:dyDescent="0.3">
      <c r="A131" s="3" t="s">
        <v>352</v>
      </c>
      <c r="B131" s="6">
        <v>11.16</v>
      </c>
      <c r="C131" s="11">
        <f t="shared" ref="C131:C194" si="3">IFERROR(B131/$B$98,"")</f>
        <v>1.391365058783927E-3</v>
      </c>
    </row>
    <row r="132" spans="1:3" x14ac:dyDescent="0.3">
      <c r="A132" s="3" t="s">
        <v>353</v>
      </c>
      <c r="B132" s="6">
        <v>11.16</v>
      </c>
      <c r="C132" s="11">
        <f t="shared" si="3"/>
        <v>1.391365058783927E-3</v>
      </c>
    </row>
    <row r="133" spans="1:3" x14ac:dyDescent="0.3">
      <c r="A133" s="3" t="s">
        <v>354</v>
      </c>
      <c r="B133" s="6">
        <v>11.16</v>
      </c>
      <c r="C133" s="11">
        <f t="shared" si="3"/>
        <v>1.391365058783927E-3</v>
      </c>
    </row>
    <row r="134" spans="1:3" x14ac:dyDescent="0.3">
      <c r="A134" s="3" t="s">
        <v>355</v>
      </c>
      <c r="B134" s="6">
        <v>11.16</v>
      </c>
      <c r="C134" s="11">
        <f t="shared" si="3"/>
        <v>1.391365058783927E-3</v>
      </c>
    </row>
    <row r="135" spans="1:3" x14ac:dyDescent="0.3">
      <c r="A135" s="3" t="s">
        <v>356</v>
      </c>
      <c r="B135" s="6">
        <v>11.16</v>
      </c>
      <c r="C135" s="11">
        <f t="shared" si="3"/>
        <v>1.391365058783927E-3</v>
      </c>
    </row>
    <row r="136" spans="1:3" x14ac:dyDescent="0.3">
      <c r="A136" s="3" t="s">
        <v>357</v>
      </c>
      <c r="B136" s="6">
        <v>11.16</v>
      </c>
      <c r="C136" s="11">
        <f t="shared" si="3"/>
        <v>1.391365058783927E-3</v>
      </c>
    </row>
    <row r="137" spans="1:3" x14ac:dyDescent="0.3">
      <c r="A137" s="3" t="s">
        <v>358</v>
      </c>
      <c r="B137" s="6">
        <v>11.16</v>
      </c>
      <c r="C137" s="11">
        <f t="shared" si="3"/>
        <v>1.391365058783927E-3</v>
      </c>
    </row>
    <row r="138" spans="1:3" x14ac:dyDescent="0.3">
      <c r="A138" s="3" t="s">
        <v>359</v>
      </c>
      <c r="B138" s="6">
        <v>11.16</v>
      </c>
      <c r="C138" s="11">
        <f t="shared" si="3"/>
        <v>1.391365058783927E-3</v>
      </c>
    </row>
    <row r="139" spans="1:3" x14ac:dyDescent="0.3">
      <c r="A139" s="3" t="s">
        <v>360</v>
      </c>
      <c r="B139" s="6">
        <v>11.16</v>
      </c>
      <c r="C139" s="11">
        <f t="shared" si="3"/>
        <v>1.391365058783927E-3</v>
      </c>
    </row>
    <row r="140" spans="1:3" x14ac:dyDescent="0.3">
      <c r="A140" s="3" t="s">
        <v>361</v>
      </c>
      <c r="B140" s="6">
        <v>11.16</v>
      </c>
      <c r="C140" s="11">
        <f t="shared" si="3"/>
        <v>1.391365058783927E-3</v>
      </c>
    </row>
    <row r="141" spans="1:3" x14ac:dyDescent="0.3">
      <c r="A141" s="3" t="s">
        <v>362</v>
      </c>
      <c r="B141" s="6">
        <v>11.16</v>
      </c>
      <c r="C141" s="11">
        <f t="shared" si="3"/>
        <v>1.391365058783927E-3</v>
      </c>
    </row>
    <row r="142" spans="1:3" x14ac:dyDescent="0.3">
      <c r="A142" s="3" t="s">
        <v>363</v>
      </c>
      <c r="B142" s="6">
        <v>11.16</v>
      </c>
      <c r="C142" s="11">
        <f t="shared" si="3"/>
        <v>1.391365058783927E-3</v>
      </c>
    </row>
    <row r="143" spans="1:3" x14ac:dyDescent="0.3">
      <c r="A143" s="3" t="s">
        <v>364</v>
      </c>
      <c r="B143" s="6">
        <v>11.16</v>
      </c>
      <c r="C143" s="11">
        <f t="shared" si="3"/>
        <v>1.391365058783927E-3</v>
      </c>
    </row>
    <row r="144" spans="1:3" x14ac:dyDescent="0.3">
      <c r="A144" s="3" t="s">
        <v>365</v>
      </c>
      <c r="B144" s="6">
        <v>11.16</v>
      </c>
      <c r="C144" s="11">
        <f t="shared" si="3"/>
        <v>1.391365058783927E-3</v>
      </c>
    </row>
    <row r="145" spans="1:3" x14ac:dyDescent="0.3">
      <c r="A145" s="3" t="s">
        <v>366</v>
      </c>
      <c r="B145" s="6">
        <v>11.16</v>
      </c>
      <c r="C145" s="11">
        <f t="shared" si="3"/>
        <v>1.391365058783927E-3</v>
      </c>
    </row>
    <row r="146" spans="1:3" x14ac:dyDescent="0.3">
      <c r="A146" s="3" t="s">
        <v>367</v>
      </c>
      <c r="B146" s="6">
        <v>11.16</v>
      </c>
      <c r="C146" s="11">
        <f t="shared" si="3"/>
        <v>1.391365058783927E-3</v>
      </c>
    </row>
    <row r="147" spans="1:3" x14ac:dyDescent="0.3">
      <c r="A147" s="3" t="s">
        <v>368</v>
      </c>
      <c r="B147" s="6">
        <v>11.16</v>
      </c>
      <c r="C147" s="11">
        <f t="shared" si="3"/>
        <v>1.391365058783927E-3</v>
      </c>
    </row>
    <row r="148" spans="1:3" x14ac:dyDescent="0.3">
      <c r="A148" s="3" t="s">
        <v>369</v>
      </c>
      <c r="B148" s="6">
        <v>11.16</v>
      </c>
      <c r="C148" s="11">
        <f t="shared" si="3"/>
        <v>1.391365058783927E-3</v>
      </c>
    </row>
    <row r="149" spans="1:3" x14ac:dyDescent="0.3">
      <c r="A149" s="3" t="s">
        <v>370</v>
      </c>
      <c r="B149" s="6">
        <v>11.16</v>
      </c>
      <c r="C149" s="11">
        <f t="shared" si="3"/>
        <v>1.391365058783927E-3</v>
      </c>
    </row>
    <row r="150" spans="1:3" x14ac:dyDescent="0.3">
      <c r="A150" s="3" t="s">
        <v>371</v>
      </c>
      <c r="B150" s="6">
        <v>11.16</v>
      </c>
      <c r="C150" s="11">
        <f t="shared" si="3"/>
        <v>1.391365058783927E-3</v>
      </c>
    </row>
    <row r="151" spans="1:3" x14ac:dyDescent="0.3">
      <c r="A151" s="3" t="s">
        <v>372</v>
      </c>
      <c r="B151" s="6">
        <v>11.16</v>
      </c>
      <c r="C151" s="11">
        <f t="shared" si="3"/>
        <v>1.391365058783927E-3</v>
      </c>
    </row>
    <row r="152" spans="1:3" x14ac:dyDescent="0.3">
      <c r="A152" s="3" t="s">
        <v>373</v>
      </c>
      <c r="B152" s="6">
        <v>11.16</v>
      </c>
      <c r="C152" s="11">
        <f t="shared" si="3"/>
        <v>1.391365058783927E-3</v>
      </c>
    </row>
    <row r="153" spans="1:3" x14ac:dyDescent="0.3">
      <c r="A153" s="3" t="s">
        <v>374</v>
      </c>
      <c r="B153" s="6">
        <v>11.16</v>
      </c>
      <c r="C153" s="11">
        <f t="shared" si="3"/>
        <v>1.391365058783927E-3</v>
      </c>
    </row>
    <row r="154" spans="1:3" x14ac:dyDescent="0.3">
      <c r="A154" s="3" t="s">
        <v>375</v>
      </c>
      <c r="B154" s="6">
        <v>11.16</v>
      </c>
      <c r="C154" s="11">
        <f t="shared" si="3"/>
        <v>1.391365058783927E-3</v>
      </c>
    </row>
    <row r="155" spans="1:3" x14ac:dyDescent="0.3">
      <c r="A155" s="3" t="s">
        <v>376</v>
      </c>
      <c r="B155" s="6">
        <v>11.16</v>
      </c>
      <c r="C155" s="11">
        <f t="shared" si="3"/>
        <v>1.391365058783927E-3</v>
      </c>
    </row>
    <row r="156" spans="1:3" x14ac:dyDescent="0.3">
      <c r="A156" s="3" t="s">
        <v>377</v>
      </c>
      <c r="B156" s="6">
        <v>11.16</v>
      </c>
      <c r="C156" s="11">
        <f t="shared" si="3"/>
        <v>1.391365058783927E-3</v>
      </c>
    </row>
    <row r="157" spans="1:3" x14ac:dyDescent="0.3">
      <c r="A157" s="3" t="s">
        <v>378</v>
      </c>
      <c r="B157" s="6">
        <v>11.16</v>
      </c>
      <c r="C157" s="11">
        <f t="shared" si="3"/>
        <v>1.391365058783927E-3</v>
      </c>
    </row>
    <row r="158" spans="1:3" x14ac:dyDescent="0.3">
      <c r="A158" s="3" t="s">
        <v>379</v>
      </c>
      <c r="B158" s="6">
        <v>11.16</v>
      </c>
      <c r="C158" s="11">
        <f t="shared" si="3"/>
        <v>1.391365058783927E-3</v>
      </c>
    </row>
    <row r="159" spans="1:3" x14ac:dyDescent="0.3">
      <c r="A159" s="3" t="s">
        <v>380</v>
      </c>
      <c r="B159" s="6">
        <v>11.16</v>
      </c>
      <c r="C159" s="11">
        <f t="shared" si="3"/>
        <v>1.391365058783927E-3</v>
      </c>
    </row>
    <row r="160" spans="1:3" x14ac:dyDescent="0.3">
      <c r="A160" s="3" t="s">
        <v>381</v>
      </c>
      <c r="B160" s="6">
        <v>11.16</v>
      </c>
      <c r="C160" s="11">
        <f t="shared" si="3"/>
        <v>1.391365058783927E-3</v>
      </c>
    </row>
    <row r="161" spans="1:3" x14ac:dyDescent="0.3">
      <c r="A161" s="3" t="s">
        <v>382</v>
      </c>
      <c r="B161" s="6">
        <v>11.16</v>
      </c>
      <c r="C161" s="11">
        <f t="shared" si="3"/>
        <v>1.391365058783927E-3</v>
      </c>
    </row>
    <row r="162" spans="1:3" x14ac:dyDescent="0.3">
      <c r="A162" s="3" t="s">
        <v>383</v>
      </c>
      <c r="B162" s="6">
        <v>11.16</v>
      </c>
      <c r="C162" s="11">
        <f t="shared" si="3"/>
        <v>1.391365058783927E-3</v>
      </c>
    </row>
    <row r="163" spans="1:3" x14ac:dyDescent="0.3">
      <c r="A163" s="3" t="s">
        <v>384</v>
      </c>
      <c r="B163" s="6">
        <v>11.16</v>
      </c>
      <c r="C163" s="11">
        <f t="shared" si="3"/>
        <v>1.391365058783927E-3</v>
      </c>
    </row>
    <row r="164" spans="1:3" x14ac:dyDescent="0.3">
      <c r="A164" s="3" t="s">
        <v>385</v>
      </c>
      <c r="B164" s="6">
        <v>11.16</v>
      </c>
      <c r="C164" s="11">
        <f t="shared" si="3"/>
        <v>1.391365058783927E-3</v>
      </c>
    </row>
    <row r="165" spans="1:3" x14ac:dyDescent="0.3">
      <c r="A165" s="3" t="s">
        <v>386</v>
      </c>
      <c r="B165" s="6">
        <v>11.16</v>
      </c>
      <c r="C165" s="11">
        <f t="shared" si="3"/>
        <v>1.391365058783927E-3</v>
      </c>
    </row>
    <row r="166" spans="1:3" x14ac:dyDescent="0.3">
      <c r="A166" s="3" t="s">
        <v>387</v>
      </c>
      <c r="B166" s="6">
        <v>11.16</v>
      </c>
      <c r="C166" s="11">
        <f t="shared" si="3"/>
        <v>1.391365058783927E-3</v>
      </c>
    </row>
    <row r="167" spans="1:3" x14ac:dyDescent="0.3">
      <c r="A167" s="3" t="s">
        <v>388</v>
      </c>
      <c r="B167" s="6">
        <v>11.16</v>
      </c>
      <c r="C167" s="11">
        <f t="shared" si="3"/>
        <v>1.391365058783927E-3</v>
      </c>
    </row>
    <row r="168" spans="1:3" x14ac:dyDescent="0.3">
      <c r="A168" s="3" t="s">
        <v>389</v>
      </c>
      <c r="B168" s="6">
        <v>11.16</v>
      </c>
      <c r="C168" s="11">
        <f t="shared" si="3"/>
        <v>1.391365058783927E-3</v>
      </c>
    </row>
    <row r="169" spans="1:3" x14ac:dyDescent="0.3">
      <c r="A169" s="3" t="s">
        <v>390</v>
      </c>
      <c r="B169" s="6">
        <v>11.16</v>
      </c>
      <c r="C169" s="11">
        <f t="shared" si="3"/>
        <v>1.391365058783927E-3</v>
      </c>
    </row>
    <row r="170" spans="1:3" x14ac:dyDescent="0.3">
      <c r="A170" s="3" t="s">
        <v>391</v>
      </c>
      <c r="B170" s="6">
        <v>11.16</v>
      </c>
      <c r="C170" s="11">
        <f t="shared" si="3"/>
        <v>1.391365058783927E-3</v>
      </c>
    </row>
    <row r="171" spans="1:3" x14ac:dyDescent="0.3">
      <c r="A171" s="3" t="s">
        <v>392</v>
      </c>
      <c r="B171" s="6">
        <v>11.16</v>
      </c>
      <c r="C171" s="11">
        <f t="shared" si="3"/>
        <v>1.391365058783927E-3</v>
      </c>
    </row>
    <row r="172" spans="1:3" x14ac:dyDescent="0.3">
      <c r="A172" s="3" t="s">
        <v>393</v>
      </c>
      <c r="B172" s="6">
        <v>11.16</v>
      </c>
      <c r="C172" s="11">
        <f t="shared" si="3"/>
        <v>1.391365058783927E-3</v>
      </c>
    </row>
    <row r="173" spans="1:3" x14ac:dyDescent="0.3">
      <c r="A173" s="3" t="s">
        <v>394</v>
      </c>
      <c r="B173" s="6">
        <v>11.16</v>
      </c>
      <c r="C173" s="11">
        <f t="shared" si="3"/>
        <v>1.391365058783927E-3</v>
      </c>
    </row>
    <row r="174" spans="1:3" x14ac:dyDescent="0.3">
      <c r="A174" s="3" t="s">
        <v>395</v>
      </c>
      <c r="B174" s="6">
        <v>11.16</v>
      </c>
      <c r="C174" s="11">
        <f t="shared" si="3"/>
        <v>1.391365058783927E-3</v>
      </c>
    </row>
    <row r="175" spans="1:3" x14ac:dyDescent="0.3">
      <c r="A175" s="3" t="s">
        <v>396</v>
      </c>
      <c r="B175" s="6">
        <v>11.16</v>
      </c>
      <c r="C175" s="11">
        <f t="shared" si="3"/>
        <v>1.391365058783927E-3</v>
      </c>
    </row>
    <row r="176" spans="1:3" x14ac:dyDescent="0.3">
      <c r="A176" s="3" t="s">
        <v>397</v>
      </c>
      <c r="B176" s="6">
        <v>11.16</v>
      </c>
      <c r="C176" s="11">
        <f t="shared" si="3"/>
        <v>1.391365058783927E-3</v>
      </c>
    </row>
    <row r="177" spans="1:3" x14ac:dyDescent="0.3">
      <c r="A177" s="3" t="s">
        <v>398</v>
      </c>
      <c r="B177" s="6">
        <v>11.16</v>
      </c>
      <c r="C177" s="11">
        <f t="shared" si="3"/>
        <v>1.391365058783927E-3</v>
      </c>
    </row>
    <row r="178" spans="1:3" x14ac:dyDescent="0.3">
      <c r="A178" s="3" t="s">
        <v>399</v>
      </c>
      <c r="B178" s="6">
        <v>11.16</v>
      </c>
      <c r="C178" s="11">
        <f t="shared" si="3"/>
        <v>1.391365058783927E-3</v>
      </c>
    </row>
    <row r="179" spans="1:3" x14ac:dyDescent="0.3">
      <c r="A179" s="3" t="s">
        <v>400</v>
      </c>
      <c r="B179" s="6">
        <v>11.16</v>
      </c>
      <c r="C179" s="11">
        <f t="shared" si="3"/>
        <v>1.391365058783927E-3</v>
      </c>
    </row>
    <row r="180" spans="1:3" x14ac:dyDescent="0.3">
      <c r="A180" s="3" t="s">
        <v>401</v>
      </c>
      <c r="B180" s="6">
        <v>11.16</v>
      </c>
      <c r="C180" s="11">
        <f t="shared" si="3"/>
        <v>1.391365058783927E-3</v>
      </c>
    </row>
    <row r="181" spans="1:3" x14ac:dyDescent="0.3">
      <c r="A181" s="3" t="s">
        <v>402</v>
      </c>
      <c r="B181" s="6">
        <v>11.16</v>
      </c>
      <c r="C181" s="11">
        <f t="shared" si="3"/>
        <v>1.391365058783927E-3</v>
      </c>
    </row>
    <row r="182" spans="1:3" x14ac:dyDescent="0.3">
      <c r="A182" s="3" t="s">
        <v>403</v>
      </c>
      <c r="B182" s="6">
        <v>11.16</v>
      </c>
      <c r="C182" s="11">
        <f t="shared" si="3"/>
        <v>1.391365058783927E-3</v>
      </c>
    </row>
    <row r="183" spans="1:3" x14ac:dyDescent="0.3">
      <c r="A183" s="3" t="s">
        <v>404</v>
      </c>
      <c r="B183" s="6">
        <v>11.16</v>
      </c>
      <c r="C183" s="11">
        <f t="shared" si="3"/>
        <v>1.391365058783927E-3</v>
      </c>
    </row>
    <row r="184" spans="1:3" x14ac:dyDescent="0.3">
      <c r="A184" s="3" t="s">
        <v>405</v>
      </c>
      <c r="B184" s="6">
        <v>11.16</v>
      </c>
      <c r="C184" s="11">
        <f t="shared" si="3"/>
        <v>1.391365058783927E-3</v>
      </c>
    </row>
    <row r="185" spans="1:3" x14ac:dyDescent="0.3">
      <c r="A185" s="3" t="s">
        <v>406</v>
      </c>
      <c r="B185" s="6">
        <v>11.16</v>
      </c>
      <c r="C185" s="11">
        <f t="shared" si="3"/>
        <v>1.391365058783927E-3</v>
      </c>
    </row>
    <row r="186" spans="1:3" x14ac:dyDescent="0.3">
      <c r="A186" s="3" t="s">
        <v>407</v>
      </c>
      <c r="B186" s="6">
        <v>11.16</v>
      </c>
      <c r="C186" s="11">
        <f t="shared" si="3"/>
        <v>1.391365058783927E-3</v>
      </c>
    </row>
    <row r="187" spans="1:3" x14ac:dyDescent="0.3">
      <c r="A187" s="3" t="s">
        <v>408</v>
      </c>
      <c r="B187" s="6">
        <v>11.16</v>
      </c>
      <c r="C187" s="11">
        <f t="shared" si="3"/>
        <v>1.391365058783927E-3</v>
      </c>
    </row>
    <row r="188" spans="1:3" x14ac:dyDescent="0.3">
      <c r="A188" s="3" t="s">
        <v>409</v>
      </c>
      <c r="B188" s="6">
        <v>11.16</v>
      </c>
      <c r="C188" s="11">
        <f t="shared" si="3"/>
        <v>1.391365058783927E-3</v>
      </c>
    </row>
    <row r="189" spans="1:3" x14ac:dyDescent="0.3">
      <c r="A189" s="3" t="s">
        <v>410</v>
      </c>
      <c r="B189" s="6">
        <v>11.16</v>
      </c>
      <c r="C189" s="11">
        <f t="shared" si="3"/>
        <v>1.391365058783927E-3</v>
      </c>
    </row>
    <row r="190" spans="1:3" x14ac:dyDescent="0.3">
      <c r="A190" s="3" t="s">
        <v>411</v>
      </c>
      <c r="B190" s="6">
        <v>11.16</v>
      </c>
      <c r="C190" s="11">
        <f t="shared" si="3"/>
        <v>1.391365058783927E-3</v>
      </c>
    </row>
    <row r="191" spans="1:3" x14ac:dyDescent="0.3">
      <c r="A191" s="3" t="s">
        <v>412</v>
      </c>
      <c r="B191" s="6">
        <v>11.16</v>
      </c>
      <c r="C191" s="11">
        <f t="shared" si="3"/>
        <v>1.391365058783927E-3</v>
      </c>
    </row>
    <row r="192" spans="1:3" x14ac:dyDescent="0.3">
      <c r="A192" s="3" t="s">
        <v>413</v>
      </c>
      <c r="B192" s="6">
        <v>11.16</v>
      </c>
      <c r="C192" s="11">
        <f t="shared" si="3"/>
        <v>1.391365058783927E-3</v>
      </c>
    </row>
    <row r="193" spans="1:3" x14ac:dyDescent="0.3">
      <c r="A193" s="3" t="s">
        <v>414</v>
      </c>
      <c r="B193" s="6">
        <v>11.16</v>
      </c>
      <c r="C193" s="11">
        <f t="shared" si="3"/>
        <v>1.391365058783927E-3</v>
      </c>
    </row>
    <row r="194" spans="1:3" x14ac:dyDescent="0.3">
      <c r="A194" s="3" t="s">
        <v>415</v>
      </c>
      <c r="B194" s="6">
        <v>11.16</v>
      </c>
      <c r="C194" s="11">
        <f t="shared" si="3"/>
        <v>1.391365058783927E-3</v>
      </c>
    </row>
    <row r="195" spans="1:3" x14ac:dyDescent="0.3">
      <c r="A195" s="3" t="s">
        <v>416</v>
      </c>
      <c r="B195" s="6">
        <v>11.16</v>
      </c>
      <c r="C195" s="11">
        <f t="shared" ref="C195:C258" si="4">IFERROR(B195/$B$98,"")</f>
        <v>1.391365058783927E-3</v>
      </c>
    </row>
    <row r="196" spans="1:3" x14ac:dyDescent="0.3">
      <c r="A196" s="3" t="s">
        <v>417</v>
      </c>
      <c r="B196" s="6">
        <v>11.16</v>
      </c>
      <c r="C196" s="11">
        <f t="shared" si="4"/>
        <v>1.391365058783927E-3</v>
      </c>
    </row>
    <row r="197" spans="1:3" x14ac:dyDescent="0.3">
      <c r="A197" s="3" t="s">
        <v>418</v>
      </c>
      <c r="B197" s="6">
        <v>11.16</v>
      </c>
      <c r="C197" s="11">
        <f t="shared" si="4"/>
        <v>1.391365058783927E-3</v>
      </c>
    </row>
    <row r="198" spans="1:3" x14ac:dyDescent="0.3">
      <c r="A198" s="3" t="s">
        <v>419</v>
      </c>
      <c r="B198" s="6">
        <v>11.16</v>
      </c>
      <c r="C198" s="11">
        <f t="shared" si="4"/>
        <v>1.391365058783927E-3</v>
      </c>
    </row>
    <row r="199" spans="1:3" x14ac:dyDescent="0.3">
      <c r="A199" s="3" t="s">
        <v>420</v>
      </c>
      <c r="B199" s="6">
        <v>11.16</v>
      </c>
      <c r="C199" s="11">
        <f t="shared" si="4"/>
        <v>1.391365058783927E-3</v>
      </c>
    </row>
    <row r="200" spans="1:3" x14ac:dyDescent="0.3">
      <c r="A200" s="3" t="s">
        <v>421</v>
      </c>
      <c r="B200" s="6">
        <v>11.16</v>
      </c>
      <c r="C200" s="11">
        <f t="shared" si="4"/>
        <v>1.391365058783927E-3</v>
      </c>
    </row>
    <row r="201" spans="1:3" x14ac:dyDescent="0.3">
      <c r="A201" s="3" t="s">
        <v>422</v>
      </c>
      <c r="B201" s="6">
        <v>11.16</v>
      </c>
      <c r="C201" s="11">
        <f t="shared" si="4"/>
        <v>1.391365058783927E-3</v>
      </c>
    </row>
    <row r="202" spans="1:3" x14ac:dyDescent="0.3">
      <c r="A202" s="3" t="s">
        <v>423</v>
      </c>
      <c r="B202" s="6">
        <v>11.16</v>
      </c>
      <c r="C202" s="11">
        <f t="shared" si="4"/>
        <v>1.391365058783927E-3</v>
      </c>
    </row>
    <row r="203" spans="1:3" x14ac:dyDescent="0.3">
      <c r="A203" s="3" t="s">
        <v>424</v>
      </c>
      <c r="B203" s="6">
        <v>11.16</v>
      </c>
      <c r="C203" s="11">
        <f t="shared" si="4"/>
        <v>1.391365058783927E-3</v>
      </c>
    </row>
    <row r="204" spans="1:3" x14ac:dyDescent="0.3">
      <c r="A204" s="3" t="s">
        <v>425</v>
      </c>
      <c r="B204" s="6">
        <v>11.16</v>
      </c>
      <c r="C204" s="11">
        <f t="shared" si="4"/>
        <v>1.391365058783927E-3</v>
      </c>
    </row>
    <row r="205" spans="1:3" x14ac:dyDescent="0.3">
      <c r="A205" s="3" t="s">
        <v>426</v>
      </c>
      <c r="B205" s="6">
        <v>11.16</v>
      </c>
      <c r="C205" s="11">
        <f t="shared" si="4"/>
        <v>1.391365058783927E-3</v>
      </c>
    </row>
    <row r="206" spans="1:3" x14ac:dyDescent="0.3">
      <c r="A206" s="3" t="s">
        <v>427</v>
      </c>
      <c r="B206" s="6">
        <v>11.16</v>
      </c>
      <c r="C206" s="11">
        <f t="shared" si="4"/>
        <v>1.391365058783927E-3</v>
      </c>
    </row>
    <row r="207" spans="1:3" x14ac:dyDescent="0.3">
      <c r="A207" s="3" t="s">
        <v>428</v>
      </c>
      <c r="B207" s="6">
        <v>11.16</v>
      </c>
      <c r="C207" s="11">
        <f t="shared" si="4"/>
        <v>1.391365058783927E-3</v>
      </c>
    </row>
    <row r="208" spans="1:3" x14ac:dyDescent="0.3">
      <c r="A208" s="3" t="s">
        <v>429</v>
      </c>
      <c r="B208" s="6">
        <v>11.16</v>
      </c>
      <c r="C208" s="11">
        <f t="shared" si="4"/>
        <v>1.391365058783927E-3</v>
      </c>
    </row>
    <row r="209" spans="1:3" x14ac:dyDescent="0.3">
      <c r="A209" s="3" t="s">
        <v>430</v>
      </c>
      <c r="B209" s="6">
        <v>11.16</v>
      </c>
      <c r="C209" s="11">
        <f t="shared" si="4"/>
        <v>1.391365058783927E-3</v>
      </c>
    </row>
    <row r="210" spans="1:3" x14ac:dyDescent="0.3">
      <c r="A210" s="3" t="s">
        <v>431</v>
      </c>
      <c r="B210" s="6">
        <v>11.16</v>
      </c>
      <c r="C210" s="11">
        <f t="shared" si="4"/>
        <v>1.391365058783927E-3</v>
      </c>
    </row>
    <row r="211" spans="1:3" x14ac:dyDescent="0.3">
      <c r="A211" s="3" t="s">
        <v>432</v>
      </c>
      <c r="B211" s="6">
        <v>11.16</v>
      </c>
      <c r="C211" s="11">
        <f t="shared" si="4"/>
        <v>1.391365058783927E-3</v>
      </c>
    </row>
    <row r="212" spans="1:3" x14ac:dyDescent="0.3">
      <c r="A212" s="3" t="s">
        <v>433</v>
      </c>
      <c r="B212" s="6">
        <v>11.16</v>
      </c>
      <c r="C212" s="11">
        <f t="shared" si="4"/>
        <v>1.391365058783927E-3</v>
      </c>
    </row>
    <row r="213" spans="1:3" x14ac:dyDescent="0.3">
      <c r="A213" s="3" t="s">
        <v>434</v>
      </c>
      <c r="B213" s="6">
        <v>11.16</v>
      </c>
      <c r="C213" s="11">
        <f t="shared" si="4"/>
        <v>1.391365058783927E-3</v>
      </c>
    </row>
    <row r="214" spans="1:3" x14ac:dyDescent="0.3">
      <c r="A214" s="3" t="s">
        <v>435</v>
      </c>
      <c r="B214" s="6">
        <v>11.16</v>
      </c>
      <c r="C214" s="11">
        <f t="shared" si="4"/>
        <v>1.391365058783927E-3</v>
      </c>
    </row>
    <row r="215" spans="1:3" x14ac:dyDescent="0.3">
      <c r="A215" s="3" t="s">
        <v>436</v>
      </c>
      <c r="B215" s="6">
        <v>11.16</v>
      </c>
      <c r="C215" s="11">
        <f t="shared" si="4"/>
        <v>1.391365058783927E-3</v>
      </c>
    </row>
    <row r="216" spans="1:3" x14ac:dyDescent="0.3">
      <c r="A216" s="3" t="s">
        <v>437</v>
      </c>
      <c r="B216" s="6">
        <v>11.16</v>
      </c>
      <c r="C216" s="11">
        <f t="shared" si="4"/>
        <v>1.391365058783927E-3</v>
      </c>
    </row>
    <row r="217" spans="1:3" x14ac:dyDescent="0.3">
      <c r="A217" s="3" t="s">
        <v>438</v>
      </c>
      <c r="B217" s="6">
        <v>11.16</v>
      </c>
      <c r="C217" s="11">
        <f t="shared" si="4"/>
        <v>1.391365058783927E-3</v>
      </c>
    </row>
    <row r="218" spans="1:3" x14ac:dyDescent="0.3">
      <c r="A218" s="3" t="s">
        <v>439</v>
      </c>
      <c r="B218" s="6">
        <v>11.16</v>
      </c>
      <c r="C218" s="11">
        <f t="shared" si="4"/>
        <v>1.391365058783927E-3</v>
      </c>
    </row>
    <row r="219" spans="1:3" x14ac:dyDescent="0.3">
      <c r="A219" s="3" t="s">
        <v>440</v>
      </c>
      <c r="B219" s="6">
        <v>11.16</v>
      </c>
      <c r="C219" s="11">
        <f t="shared" si="4"/>
        <v>1.391365058783927E-3</v>
      </c>
    </row>
    <row r="220" spans="1:3" x14ac:dyDescent="0.3">
      <c r="A220" s="3" t="s">
        <v>441</v>
      </c>
      <c r="B220" s="6">
        <v>11.16</v>
      </c>
      <c r="C220" s="11">
        <f t="shared" si="4"/>
        <v>1.391365058783927E-3</v>
      </c>
    </row>
    <row r="221" spans="1:3" x14ac:dyDescent="0.3">
      <c r="A221" s="3" t="s">
        <v>442</v>
      </c>
      <c r="B221" s="6">
        <v>11.16</v>
      </c>
      <c r="C221" s="11">
        <f t="shared" si="4"/>
        <v>1.391365058783927E-3</v>
      </c>
    </row>
    <row r="222" spans="1:3" x14ac:dyDescent="0.3">
      <c r="A222" s="3" t="s">
        <v>443</v>
      </c>
      <c r="B222" s="6">
        <v>11.16</v>
      </c>
      <c r="C222" s="11">
        <f t="shared" si="4"/>
        <v>1.391365058783927E-3</v>
      </c>
    </row>
    <row r="223" spans="1:3" x14ac:dyDescent="0.3">
      <c r="A223" s="3" t="s">
        <v>444</v>
      </c>
      <c r="B223" s="6">
        <v>11.16</v>
      </c>
      <c r="C223" s="11">
        <f t="shared" si="4"/>
        <v>1.391365058783927E-3</v>
      </c>
    </row>
    <row r="224" spans="1:3" x14ac:dyDescent="0.3">
      <c r="A224" s="3" t="s">
        <v>445</v>
      </c>
      <c r="B224" s="6">
        <v>11.16</v>
      </c>
      <c r="C224" s="11">
        <f t="shared" si="4"/>
        <v>1.391365058783927E-3</v>
      </c>
    </row>
    <row r="225" spans="1:3" x14ac:dyDescent="0.3">
      <c r="A225" s="3" t="s">
        <v>446</v>
      </c>
      <c r="B225" s="6">
        <v>11.16</v>
      </c>
      <c r="C225" s="11">
        <f t="shared" si="4"/>
        <v>1.391365058783927E-3</v>
      </c>
    </row>
    <row r="226" spans="1:3" x14ac:dyDescent="0.3">
      <c r="A226" s="3" t="s">
        <v>447</v>
      </c>
      <c r="B226" s="6">
        <v>11.16</v>
      </c>
      <c r="C226" s="11">
        <f t="shared" si="4"/>
        <v>1.391365058783927E-3</v>
      </c>
    </row>
    <row r="227" spans="1:3" x14ac:dyDescent="0.3">
      <c r="A227" s="3" t="s">
        <v>448</v>
      </c>
      <c r="B227" s="6">
        <v>11.16</v>
      </c>
      <c r="C227" s="11">
        <f t="shared" si="4"/>
        <v>1.391365058783927E-3</v>
      </c>
    </row>
    <row r="228" spans="1:3" x14ac:dyDescent="0.3">
      <c r="A228" s="3" t="s">
        <v>449</v>
      </c>
      <c r="B228" s="6">
        <v>11.16</v>
      </c>
      <c r="C228" s="11">
        <f t="shared" si="4"/>
        <v>1.391365058783927E-3</v>
      </c>
    </row>
    <row r="229" spans="1:3" x14ac:dyDescent="0.3">
      <c r="A229" s="3" t="s">
        <v>450</v>
      </c>
      <c r="B229" s="6">
        <v>11.16</v>
      </c>
      <c r="C229" s="11">
        <f t="shared" si="4"/>
        <v>1.391365058783927E-3</v>
      </c>
    </row>
    <row r="230" spans="1:3" x14ac:dyDescent="0.3">
      <c r="A230" s="3" t="s">
        <v>451</v>
      </c>
      <c r="B230" s="6">
        <v>11.16</v>
      </c>
      <c r="C230" s="11">
        <f t="shared" si="4"/>
        <v>1.391365058783927E-3</v>
      </c>
    </row>
    <row r="231" spans="1:3" x14ac:dyDescent="0.3">
      <c r="A231" s="3" t="s">
        <v>452</v>
      </c>
      <c r="B231" s="6">
        <v>11.16</v>
      </c>
      <c r="C231" s="11">
        <f t="shared" si="4"/>
        <v>1.391365058783927E-3</v>
      </c>
    </row>
    <row r="232" spans="1:3" x14ac:dyDescent="0.3">
      <c r="A232" s="3" t="s">
        <v>453</v>
      </c>
      <c r="B232" s="6">
        <v>11.16</v>
      </c>
      <c r="C232" s="11">
        <f t="shared" si="4"/>
        <v>1.391365058783927E-3</v>
      </c>
    </row>
    <row r="233" spans="1:3" x14ac:dyDescent="0.3">
      <c r="A233" s="3" t="s">
        <v>454</v>
      </c>
      <c r="B233" s="6">
        <v>11.16</v>
      </c>
      <c r="C233" s="11">
        <f t="shared" si="4"/>
        <v>1.391365058783927E-3</v>
      </c>
    </row>
    <row r="234" spans="1:3" x14ac:dyDescent="0.3">
      <c r="A234" s="3" t="s">
        <v>455</v>
      </c>
      <c r="B234" s="6">
        <v>11.16</v>
      </c>
      <c r="C234" s="11">
        <f t="shared" si="4"/>
        <v>1.391365058783927E-3</v>
      </c>
    </row>
    <row r="235" spans="1:3" x14ac:dyDescent="0.3">
      <c r="A235" s="3" t="s">
        <v>456</v>
      </c>
      <c r="B235" s="6">
        <v>11.16</v>
      </c>
      <c r="C235" s="11">
        <f t="shared" si="4"/>
        <v>1.391365058783927E-3</v>
      </c>
    </row>
    <row r="236" spans="1:3" x14ac:dyDescent="0.3">
      <c r="A236" s="3" t="s">
        <v>457</v>
      </c>
      <c r="B236" s="6">
        <v>11.16</v>
      </c>
      <c r="C236" s="11">
        <f t="shared" si="4"/>
        <v>1.391365058783927E-3</v>
      </c>
    </row>
    <row r="237" spans="1:3" x14ac:dyDescent="0.3">
      <c r="A237" s="3" t="s">
        <v>458</v>
      </c>
      <c r="B237" s="6">
        <v>11.16</v>
      </c>
      <c r="C237" s="11">
        <f t="shared" si="4"/>
        <v>1.391365058783927E-3</v>
      </c>
    </row>
    <row r="238" spans="1:3" x14ac:dyDescent="0.3">
      <c r="A238" s="3" t="s">
        <v>459</v>
      </c>
      <c r="B238" s="6">
        <v>11.16</v>
      </c>
      <c r="C238" s="11">
        <f t="shared" si="4"/>
        <v>1.391365058783927E-3</v>
      </c>
    </row>
    <row r="239" spans="1:3" x14ac:dyDescent="0.3">
      <c r="A239" s="3" t="s">
        <v>460</v>
      </c>
      <c r="B239" s="6">
        <v>11.16</v>
      </c>
      <c r="C239" s="11">
        <f t="shared" si="4"/>
        <v>1.391365058783927E-3</v>
      </c>
    </row>
    <row r="240" spans="1:3" x14ac:dyDescent="0.3">
      <c r="A240" s="3" t="s">
        <v>461</v>
      </c>
      <c r="B240" s="6">
        <v>11.16</v>
      </c>
      <c r="C240" s="11">
        <f t="shared" si="4"/>
        <v>1.391365058783927E-3</v>
      </c>
    </row>
    <row r="241" spans="1:3" x14ac:dyDescent="0.3">
      <c r="A241" s="3" t="s">
        <v>462</v>
      </c>
      <c r="B241" s="6">
        <v>11.16</v>
      </c>
      <c r="C241" s="11">
        <f t="shared" si="4"/>
        <v>1.391365058783927E-3</v>
      </c>
    </row>
    <row r="242" spans="1:3" x14ac:dyDescent="0.3">
      <c r="A242" s="3" t="s">
        <v>463</v>
      </c>
      <c r="B242" s="6">
        <v>11.16</v>
      </c>
      <c r="C242" s="11">
        <f t="shared" si="4"/>
        <v>1.391365058783927E-3</v>
      </c>
    </row>
    <row r="243" spans="1:3" x14ac:dyDescent="0.3">
      <c r="A243" s="3" t="s">
        <v>464</v>
      </c>
      <c r="B243" s="6">
        <v>11.16</v>
      </c>
      <c r="C243" s="11">
        <f t="shared" si="4"/>
        <v>1.391365058783927E-3</v>
      </c>
    </row>
    <row r="244" spans="1:3" x14ac:dyDescent="0.3">
      <c r="A244" s="3" t="s">
        <v>465</v>
      </c>
      <c r="B244" s="6">
        <v>11.16</v>
      </c>
      <c r="C244" s="11">
        <f t="shared" si="4"/>
        <v>1.391365058783927E-3</v>
      </c>
    </row>
    <row r="245" spans="1:3" x14ac:dyDescent="0.3">
      <c r="A245" s="3" t="s">
        <v>466</v>
      </c>
      <c r="B245" s="6">
        <v>11.16</v>
      </c>
      <c r="C245" s="11">
        <f t="shared" si="4"/>
        <v>1.391365058783927E-3</v>
      </c>
    </row>
    <row r="246" spans="1:3" x14ac:dyDescent="0.3">
      <c r="A246" s="3" t="s">
        <v>467</v>
      </c>
      <c r="B246" s="6">
        <v>11.16</v>
      </c>
      <c r="C246" s="11">
        <f t="shared" si="4"/>
        <v>1.391365058783927E-3</v>
      </c>
    </row>
    <row r="247" spans="1:3" x14ac:dyDescent="0.3">
      <c r="A247" s="3" t="s">
        <v>468</v>
      </c>
      <c r="B247" s="6">
        <v>11.16</v>
      </c>
      <c r="C247" s="11">
        <f t="shared" si="4"/>
        <v>1.391365058783927E-3</v>
      </c>
    </row>
    <row r="248" spans="1:3" x14ac:dyDescent="0.3">
      <c r="A248" s="3" t="s">
        <v>469</v>
      </c>
      <c r="B248" s="6">
        <v>11.16</v>
      </c>
      <c r="C248" s="11">
        <f t="shared" si="4"/>
        <v>1.391365058783927E-3</v>
      </c>
    </row>
    <row r="249" spans="1:3" x14ac:dyDescent="0.3">
      <c r="A249" s="3" t="s">
        <v>470</v>
      </c>
      <c r="B249" s="6">
        <v>11.34</v>
      </c>
      <c r="C249" s="11">
        <f t="shared" si="4"/>
        <v>1.4138064306997969E-3</v>
      </c>
    </row>
    <row r="250" spans="1:3" x14ac:dyDescent="0.3">
      <c r="A250" s="3" t="s">
        <v>471</v>
      </c>
      <c r="B250" s="6">
        <v>11.34</v>
      </c>
      <c r="C250" s="11">
        <f t="shared" si="4"/>
        <v>1.4138064306997969E-3</v>
      </c>
    </row>
    <row r="251" spans="1:3" x14ac:dyDescent="0.3">
      <c r="A251" s="3" t="s">
        <v>472</v>
      </c>
      <c r="B251" s="6">
        <v>11.34</v>
      </c>
      <c r="C251" s="11">
        <f t="shared" si="4"/>
        <v>1.4138064306997969E-3</v>
      </c>
    </row>
    <row r="252" spans="1:3" x14ac:dyDescent="0.3">
      <c r="A252" s="3" t="s">
        <v>473</v>
      </c>
      <c r="B252" s="6">
        <v>11.34</v>
      </c>
      <c r="C252" s="11">
        <f t="shared" si="4"/>
        <v>1.4138064306997969E-3</v>
      </c>
    </row>
    <row r="253" spans="1:3" x14ac:dyDescent="0.3">
      <c r="A253" s="3" t="s">
        <v>474</v>
      </c>
      <c r="B253" s="6">
        <v>11.34</v>
      </c>
      <c r="C253" s="11">
        <f t="shared" si="4"/>
        <v>1.4138064306997969E-3</v>
      </c>
    </row>
    <row r="254" spans="1:3" x14ac:dyDescent="0.3">
      <c r="A254" s="3" t="s">
        <v>475</v>
      </c>
      <c r="B254" s="6">
        <v>11.34</v>
      </c>
      <c r="C254" s="11">
        <f t="shared" si="4"/>
        <v>1.4138064306997969E-3</v>
      </c>
    </row>
    <row r="255" spans="1:3" x14ac:dyDescent="0.3">
      <c r="A255" s="3" t="s">
        <v>476</v>
      </c>
      <c r="B255" s="6">
        <v>11.34</v>
      </c>
      <c r="C255" s="11">
        <f t="shared" si="4"/>
        <v>1.4138064306997969E-3</v>
      </c>
    </row>
    <row r="256" spans="1:3" x14ac:dyDescent="0.3">
      <c r="A256" s="3" t="s">
        <v>477</v>
      </c>
      <c r="B256" s="6">
        <v>11.34</v>
      </c>
      <c r="C256" s="11">
        <f t="shared" si="4"/>
        <v>1.4138064306997969E-3</v>
      </c>
    </row>
    <row r="257" spans="1:3" x14ac:dyDescent="0.3">
      <c r="A257" s="3" t="s">
        <v>478</v>
      </c>
      <c r="B257" s="6">
        <v>11.34</v>
      </c>
      <c r="C257" s="11">
        <f t="shared" si="4"/>
        <v>1.4138064306997969E-3</v>
      </c>
    </row>
    <row r="258" spans="1:3" x14ac:dyDescent="0.3">
      <c r="A258" s="3" t="s">
        <v>479</v>
      </c>
      <c r="B258" s="6">
        <v>11.34</v>
      </c>
      <c r="C258" s="11">
        <f t="shared" si="4"/>
        <v>1.4138064306997969E-3</v>
      </c>
    </row>
    <row r="259" spans="1:3" x14ac:dyDescent="0.3">
      <c r="A259" s="3" t="s">
        <v>480</v>
      </c>
      <c r="B259" s="6">
        <v>11.34</v>
      </c>
      <c r="C259" s="11">
        <f t="shared" ref="C259:C322" si="5">IFERROR(B259/$B$98,"")</f>
        <v>1.4138064306997969E-3</v>
      </c>
    </row>
    <row r="260" spans="1:3" x14ac:dyDescent="0.3">
      <c r="A260" s="3" t="s">
        <v>481</v>
      </c>
      <c r="B260" s="6">
        <v>11.34</v>
      </c>
      <c r="C260" s="11">
        <f t="shared" si="5"/>
        <v>1.4138064306997969E-3</v>
      </c>
    </row>
    <row r="261" spans="1:3" x14ac:dyDescent="0.3">
      <c r="A261" s="3" t="s">
        <v>482</v>
      </c>
      <c r="B261" s="6">
        <v>11.34</v>
      </c>
      <c r="C261" s="11">
        <f t="shared" si="5"/>
        <v>1.4138064306997969E-3</v>
      </c>
    </row>
    <row r="262" spans="1:3" x14ac:dyDescent="0.3">
      <c r="A262" s="3" t="s">
        <v>483</v>
      </c>
      <c r="B262" s="6">
        <v>11.34</v>
      </c>
      <c r="C262" s="11">
        <f t="shared" si="5"/>
        <v>1.4138064306997969E-3</v>
      </c>
    </row>
    <row r="263" spans="1:3" x14ac:dyDescent="0.3">
      <c r="A263" s="3" t="s">
        <v>484</v>
      </c>
      <c r="B263" s="6">
        <v>11.34</v>
      </c>
      <c r="C263" s="11">
        <f t="shared" si="5"/>
        <v>1.4138064306997969E-3</v>
      </c>
    </row>
    <row r="264" spans="1:3" x14ac:dyDescent="0.3">
      <c r="A264" s="3" t="s">
        <v>485</v>
      </c>
      <c r="B264" s="6">
        <v>11.34</v>
      </c>
      <c r="C264" s="11">
        <f t="shared" si="5"/>
        <v>1.4138064306997969E-3</v>
      </c>
    </row>
    <row r="265" spans="1:3" x14ac:dyDescent="0.3">
      <c r="A265" s="3" t="s">
        <v>486</v>
      </c>
      <c r="B265" s="6">
        <v>11.34</v>
      </c>
      <c r="C265" s="11">
        <f t="shared" si="5"/>
        <v>1.4138064306997969E-3</v>
      </c>
    </row>
    <row r="266" spans="1:3" x14ac:dyDescent="0.3">
      <c r="A266" s="3" t="s">
        <v>487</v>
      </c>
      <c r="B266" s="6">
        <v>11.34</v>
      </c>
      <c r="C266" s="11">
        <f t="shared" si="5"/>
        <v>1.4138064306997969E-3</v>
      </c>
    </row>
    <row r="267" spans="1:3" x14ac:dyDescent="0.3">
      <c r="A267" s="3" t="s">
        <v>488</v>
      </c>
      <c r="B267" s="6">
        <v>11.34</v>
      </c>
      <c r="C267" s="11">
        <f t="shared" si="5"/>
        <v>1.4138064306997969E-3</v>
      </c>
    </row>
    <row r="268" spans="1:3" x14ac:dyDescent="0.3">
      <c r="A268" s="3" t="s">
        <v>489</v>
      </c>
      <c r="B268" s="6">
        <v>11.34</v>
      </c>
      <c r="C268" s="11">
        <f t="shared" si="5"/>
        <v>1.4138064306997969E-3</v>
      </c>
    </row>
    <row r="269" spans="1:3" x14ac:dyDescent="0.3">
      <c r="A269" s="3" t="s">
        <v>490</v>
      </c>
      <c r="B269" s="6">
        <v>11.34</v>
      </c>
      <c r="C269" s="11">
        <f t="shared" si="5"/>
        <v>1.4138064306997969E-3</v>
      </c>
    </row>
    <row r="270" spans="1:3" x14ac:dyDescent="0.3">
      <c r="A270" s="3" t="s">
        <v>491</v>
      </c>
      <c r="B270" s="6">
        <v>11.34</v>
      </c>
      <c r="C270" s="11">
        <f t="shared" si="5"/>
        <v>1.4138064306997969E-3</v>
      </c>
    </row>
    <row r="271" spans="1:3" x14ac:dyDescent="0.3">
      <c r="A271" s="3" t="s">
        <v>492</v>
      </c>
      <c r="B271" s="6">
        <v>11.34</v>
      </c>
      <c r="C271" s="11">
        <f t="shared" si="5"/>
        <v>1.4138064306997969E-3</v>
      </c>
    </row>
    <row r="272" spans="1:3" x14ac:dyDescent="0.3">
      <c r="A272" s="3" t="s">
        <v>493</v>
      </c>
      <c r="B272" s="6">
        <v>11.34</v>
      </c>
      <c r="C272" s="11">
        <f t="shared" si="5"/>
        <v>1.4138064306997969E-3</v>
      </c>
    </row>
    <row r="273" spans="1:3" x14ac:dyDescent="0.3">
      <c r="A273" s="3" t="s">
        <v>494</v>
      </c>
      <c r="B273" s="6">
        <v>11.34</v>
      </c>
      <c r="C273" s="11">
        <f t="shared" si="5"/>
        <v>1.4138064306997969E-3</v>
      </c>
    </row>
    <row r="274" spans="1:3" x14ac:dyDescent="0.3">
      <c r="A274" s="3" t="s">
        <v>495</v>
      </c>
      <c r="B274" s="6">
        <v>11.34</v>
      </c>
      <c r="C274" s="11">
        <f t="shared" si="5"/>
        <v>1.4138064306997969E-3</v>
      </c>
    </row>
    <row r="275" spans="1:3" x14ac:dyDescent="0.3">
      <c r="A275" s="3" t="s">
        <v>496</v>
      </c>
      <c r="B275" s="6">
        <v>11.34</v>
      </c>
      <c r="C275" s="11">
        <f t="shared" si="5"/>
        <v>1.4138064306997969E-3</v>
      </c>
    </row>
    <row r="276" spans="1:3" x14ac:dyDescent="0.3">
      <c r="A276" s="3" t="s">
        <v>497</v>
      </c>
      <c r="B276" s="6">
        <v>11.34</v>
      </c>
      <c r="C276" s="11">
        <f t="shared" si="5"/>
        <v>1.4138064306997969E-3</v>
      </c>
    </row>
    <row r="277" spans="1:3" x14ac:dyDescent="0.3">
      <c r="A277" s="3" t="s">
        <v>498</v>
      </c>
      <c r="B277" s="6">
        <v>11.34</v>
      </c>
      <c r="C277" s="11">
        <f t="shared" si="5"/>
        <v>1.4138064306997969E-3</v>
      </c>
    </row>
    <row r="278" spans="1:3" x14ac:dyDescent="0.3">
      <c r="A278" s="3" t="s">
        <v>499</v>
      </c>
      <c r="B278" s="6">
        <v>11.34</v>
      </c>
      <c r="C278" s="11">
        <f t="shared" si="5"/>
        <v>1.4138064306997969E-3</v>
      </c>
    </row>
    <row r="279" spans="1:3" x14ac:dyDescent="0.3">
      <c r="A279" s="3" t="s">
        <v>500</v>
      </c>
      <c r="B279" s="6">
        <v>11.34</v>
      </c>
      <c r="C279" s="11">
        <f t="shared" si="5"/>
        <v>1.4138064306997969E-3</v>
      </c>
    </row>
    <row r="280" spans="1:3" x14ac:dyDescent="0.3">
      <c r="A280" s="3" t="s">
        <v>501</v>
      </c>
      <c r="B280" s="6">
        <v>11.34</v>
      </c>
      <c r="C280" s="11">
        <f t="shared" si="5"/>
        <v>1.4138064306997969E-3</v>
      </c>
    </row>
    <row r="281" spans="1:3" x14ac:dyDescent="0.3">
      <c r="A281" s="3" t="s">
        <v>502</v>
      </c>
      <c r="B281" s="6">
        <v>11.34</v>
      </c>
      <c r="C281" s="11">
        <f t="shared" si="5"/>
        <v>1.4138064306997969E-3</v>
      </c>
    </row>
    <row r="282" spans="1:3" x14ac:dyDescent="0.3">
      <c r="A282" s="3" t="s">
        <v>503</v>
      </c>
      <c r="B282" s="6">
        <v>11.34</v>
      </c>
      <c r="C282" s="11">
        <f t="shared" si="5"/>
        <v>1.4138064306997969E-3</v>
      </c>
    </row>
    <row r="283" spans="1:3" x14ac:dyDescent="0.3">
      <c r="A283" s="3" t="s">
        <v>504</v>
      </c>
      <c r="B283" s="6">
        <v>11.34</v>
      </c>
      <c r="C283" s="11">
        <f t="shared" si="5"/>
        <v>1.4138064306997969E-3</v>
      </c>
    </row>
    <row r="284" spans="1:3" x14ac:dyDescent="0.3">
      <c r="A284" s="3" t="s">
        <v>505</v>
      </c>
      <c r="B284" s="6">
        <v>11.34</v>
      </c>
      <c r="C284" s="11">
        <f t="shared" si="5"/>
        <v>1.4138064306997969E-3</v>
      </c>
    </row>
    <row r="285" spans="1:3" x14ac:dyDescent="0.3">
      <c r="A285" s="3" t="s">
        <v>506</v>
      </c>
      <c r="B285" s="6">
        <v>11.34</v>
      </c>
      <c r="C285" s="11">
        <f t="shared" si="5"/>
        <v>1.4138064306997969E-3</v>
      </c>
    </row>
    <row r="286" spans="1:3" x14ac:dyDescent="0.3">
      <c r="A286" s="3" t="s">
        <v>507</v>
      </c>
      <c r="B286" s="6">
        <v>11.34</v>
      </c>
      <c r="C286" s="11">
        <f t="shared" si="5"/>
        <v>1.4138064306997969E-3</v>
      </c>
    </row>
    <row r="287" spans="1:3" x14ac:dyDescent="0.3">
      <c r="A287" s="3" t="s">
        <v>508</v>
      </c>
      <c r="B287" s="6">
        <v>11.34</v>
      </c>
      <c r="C287" s="11">
        <f t="shared" si="5"/>
        <v>1.4138064306997969E-3</v>
      </c>
    </row>
    <row r="288" spans="1:3" x14ac:dyDescent="0.3">
      <c r="A288" s="3" t="s">
        <v>509</v>
      </c>
      <c r="B288" s="6">
        <v>11.34</v>
      </c>
      <c r="C288" s="11">
        <f t="shared" si="5"/>
        <v>1.4138064306997969E-3</v>
      </c>
    </row>
    <row r="289" spans="1:3" x14ac:dyDescent="0.3">
      <c r="A289" s="3" t="s">
        <v>510</v>
      </c>
      <c r="B289" s="6">
        <v>11.34</v>
      </c>
      <c r="C289" s="11">
        <f t="shared" si="5"/>
        <v>1.4138064306997969E-3</v>
      </c>
    </row>
    <row r="290" spans="1:3" x14ac:dyDescent="0.3">
      <c r="A290" s="3" t="s">
        <v>511</v>
      </c>
      <c r="B290" s="6">
        <v>11.34</v>
      </c>
      <c r="C290" s="11">
        <f t="shared" si="5"/>
        <v>1.4138064306997969E-3</v>
      </c>
    </row>
    <row r="291" spans="1:3" x14ac:dyDescent="0.3">
      <c r="A291" s="3" t="s">
        <v>512</v>
      </c>
      <c r="B291" s="6">
        <v>11.34</v>
      </c>
      <c r="C291" s="11">
        <f t="shared" si="5"/>
        <v>1.4138064306997969E-3</v>
      </c>
    </row>
    <row r="292" spans="1:3" x14ac:dyDescent="0.3">
      <c r="A292" s="3" t="s">
        <v>513</v>
      </c>
      <c r="B292" s="6">
        <v>11.34</v>
      </c>
      <c r="C292" s="11">
        <f t="shared" si="5"/>
        <v>1.4138064306997969E-3</v>
      </c>
    </row>
    <row r="293" spans="1:3" x14ac:dyDescent="0.3">
      <c r="A293" s="3" t="s">
        <v>514</v>
      </c>
      <c r="B293" s="6">
        <v>11.34</v>
      </c>
      <c r="C293" s="11">
        <f t="shared" si="5"/>
        <v>1.4138064306997969E-3</v>
      </c>
    </row>
    <row r="294" spans="1:3" x14ac:dyDescent="0.3">
      <c r="A294" s="3" t="s">
        <v>515</v>
      </c>
      <c r="B294" s="6">
        <v>11.34</v>
      </c>
      <c r="C294" s="11">
        <f t="shared" si="5"/>
        <v>1.4138064306997969E-3</v>
      </c>
    </row>
    <row r="295" spans="1:3" x14ac:dyDescent="0.3">
      <c r="A295" s="3" t="s">
        <v>516</v>
      </c>
      <c r="B295" s="6">
        <v>11.34</v>
      </c>
      <c r="C295" s="11">
        <f t="shared" si="5"/>
        <v>1.4138064306997969E-3</v>
      </c>
    </row>
    <row r="296" spans="1:3" x14ac:dyDescent="0.3">
      <c r="A296" s="3" t="s">
        <v>517</v>
      </c>
      <c r="B296" s="6">
        <v>11.34</v>
      </c>
      <c r="C296" s="11">
        <f t="shared" si="5"/>
        <v>1.4138064306997969E-3</v>
      </c>
    </row>
    <row r="297" spans="1:3" x14ac:dyDescent="0.3">
      <c r="A297" s="3" t="s">
        <v>518</v>
      </c>
      <c r="B297" s="6">
        <v>11.34</v>
      </c>
      <c r="C297" s="11">
        <f t="shared" si="5"/>
        <v>1.4138064306997969E-3</v>
      </c>
    </row>
    <row r="298" spans="1:3" x14ac:dyDescent="0.3">
      <c r="A298" s="3" t="s">
        <v>519</v>
      </c>
      <c r="B298" s="6">
        <v>11.34</v>
      </c>
      <c r="C298" s="11">
        <f t="shared" si="5"/>
        <v>1.4138064306997969E-3</v>
      </c>
    </row>
    <row r="299" spans="1:3" x14ac:dyDescent="0.3">
      <c r="A299" s="3" t="s">
        <v>520</v>
      </c>
      <c r="B299" s="6">
        <v>11.34</v>
      </c>
      <c r="C299" s="11">
        <f t="shared" si="5"/>
        <v>1.4138064306997969E-3</v>
      </c>
    </row>
    <row r="300" spans="1:3" x14ac:dyDescent="0.3">
      <c r="A300" s="3" t="s">
        <v>521</v>
      </c>
      <c r="B300" s="6">
        <v>11.34</v>
      </c>
      <c r="C300" s="11">
        <f t="shared" si="5"/>
        <v>1.4138064306997969E-3</v>
      </c>
    </row>
    <row r="301" spans="1:3" x14ac:dyDescent="0.3">
      <c r="A301" s="3" t="s">
        <v>522</v>
      </c>
      <c r="B301" s="6">
        <v>11.34</v>
      </c>
      <c r="C301" s="11">
        <f t="shared" si="5"/>
        <v>1.4138064306997969E-3</v>
      </c>
    </row>
    <row r="302" spans="1:3" x14ac:dyDescent="0.3">
      <c r="A302" s="3" t="s">
        <v>523</v>
      </c>
      <c r="B302" s="6">
        <v>11.34</v>
      </c>
      <c r="C302" s="11">
        <f t="shared" si="5"/>
        <v>1.4138064306997969E-3</v>
      </c>
    </row>
    <row r="303" spans="1:3" x14ac:dyDescent="0.3">
      <c r="A303" s="3" t="s">
        <v>524</v>
      </c>
      <c r="B303" s="6">
        <v>11.34</v>
      </c>
      <c r="C303" s="11">
        <f t="shared" si="5"/>
        <v>1.4138064306997969E-3</v>
      </c>
    </row>
    <row r="304" spans="1:3" x14ac:dyDescent="0.3">
      <c r="A304" s="3" t="s">
        <v>525</v>
      </c>
      <c r="B304" s="6">
        <v>11.34</v>
      </c>
      <c r="C304" s="11">
        <f t="shared" si="5"/>
        <v>1.4138064306997969E-3</v>
      </c>
    </row>
    <row r="305" spans="1:3" x14ac:dyDescent="0.3">
      <c r="A305" s="3" t="s">
        <v>526</v>
      </c>
      <c r="B305" s="6">
        <v>11.34</v>
      </c>
      <c r="C305" s="11">
        <f t="shared" si="5"/>
        <v>1.4138064306997969E-3</v>
      </c>
    </row>
    <row r="306" spans="1:3" x14ac:dyDescent="0.3">
      <c r="A306" s="3" t="s">
        <v>527</v>
      </c>
      <c r="B306" s="6">
        <v>11.34</v>
      </c>
      <c r="C306" s="11">
        <f t="shared" si="5"/>
        <v>1.4138064306997969E-3</v>
      </c>
    </row>
    <row r="307" spans="1:3" x14ac:dyDescent="0.3">
      <c r="A307" s="3" t="s">
        <v>528</v>
      </c>
      <c r="B307" s="6">
        <v>11.34</v>
      </c>
      <c r="C307" s="11">
        <f t="shared" si="5"/>
        <v>1.4138064306997969E-3</v>
      </c>
    </row>
    <row r="308" spans="1:3" x14ac:dyDescent="0.3">
      <c r="A308" s="3" t="s">
        <v>529</v>
      </c>
      <c r="B308" s="6">
        <v>11.34</v>
      </c>
      <c r="C308" s="11">
        <f t="shared" si="5"/>
        <v>1.4138064306997969E-3</v>
      </c>
    </row>
    <row r="309" spans="1:3" x14ac:dyDescent="0.3">
      <c r="A309" s="3" t="s">
        <v>530</v>
      </c>
      <c r="B309" s="6">
        <v>11.34</v>
      </c>
      <c r="C309" s="11">
        <f t="shared" si="5"/>
        <v>1.4138064306997969E-3</v>
      </c>
    </row>
    <row r="310" spans="1:3" x14ac:dyDescent="0.3">
      <c r="A310" s="3" t="s">
        <v>531</v>
      </c>
      <c r="B310" s="6">
        <v>11.34</v>
      </c>
      <c r="C310" s="11">
        <f t="shared" si="5"/>
        <v>1.4138064306997969E-3</v>
      </c>
    </row>
    <row r="311" spans="1:3" x14ac:dyDescent="0.3">
      <c r="A311" s="3" t="s">
        <v>532</v>
      </c>
      <c r="B311" s="6">
        <v>11.34</v>
      </c>
      <c r="C311" s="11">
        <f t="shared" si="5"/>
        <v>1.4138064306997969E-3</v>
      </c>
    </row>
    <row r="312" spans="1:3" x14ac:dyDescent="0.3">
      <c r="A312" s="3" t="s">
        <v>533</v>
      </c>
      <c r="B312" s="6">
        <v>11.34</v>
      </c>
      <c r="C312" s="11">
        <f t="shared" si="5"/>
        <v>1.4138064306997969E-3</v>
      </c>
    </row>
    <row r="313" spans="1:3" x14ac:dyDescent="0.3">
      <c r="A313" s="3" t="s">
        <v>534</v>
      </c>
      <c r="B313" s="6">
        <v>11.34</v>
      </c>
      <c r="C313" s="11">
        <f t="shared" si="5"/>
        <v>1.4138064306997969E-3</v>
      </c>
    </row>
    <row r="314" spans="1:3" x14ac:dyDescent="0.3">
      <c r="A314" s="3" t="s">
        <v>535</v>
      </c>
      <c r="B314" s="6">
        <v>11.34</v>
      </c>
      <c r="C314" s="11">
        <f t="shared" si="5"/>
        <v>1.4138064306997969E-3</v>
      </c>
    </row>
    <row r="315" spans="1:3" x14ac:dyDescent="0.3">
      <c r="A315" s="3" t="s">
        <v>536</v>
      </c>
      <c r="B315" s="6">
        <v>11.34</v>
      </c>
      <c r="C315" s="11">
        <f t="shared" si="5"/>
        <v>1.4138064306997969E-3</v>
      </c>
    </row>
    <row r="316" spans="1:3" x14ac:dyDescent="0.3">
      <c r="A316" s="3" t="s">
        <v>537</v>
      </c>
      <c r="B316" s="6">
        <v>11.34</v>
      </c>
      <c r="C316" s="11">
        <f t="shared" si="5"/>
        <v>1.4138064306997969E-3</v>
      </c>
    </row>
    <row r="317" spans="1:3" x14ac:dyDescent="0.3">
      <c r="A317" s="3" t="s">
        <v>538</v>
      </c>
      <c r="B317" s="6">
        <v>11.34</v>
      </c>
      <c r="C317" s="11">
        <f t="shared" si="5"/>
        <v>1.4138064306997969E-3</v>
      </c>
    </row>
    <row r="318" spans="1:3" x14ac:dyDescent="0.3">
      <c r="A318" s="3" t="s">
        <v>539</v>
      </c>
      <c r="B318" s="6">
        <v>11.34</v>
      </c>
      <c r="C318" s="11">
        <f t="shared" si="5"/>
        <v>1.4138064306997969E-3</v>
      </c>
    </row>
    <row r="319" spans="1:3" x14ac:dyDescent="0.3">
      <c r="A319" s="3" t="s">
        <v>540</v>
      </c>
      <c r="B319" s="6">
        <v>11.34</v>
      </c>
      <c r="C319" s="11">
        <f t="shared" si="5"/>
        <v>1.4138064306997969E-3</v>
      </c>
    </row>
    <row r="320" spans="1:3" x14ac:dyDescent="0.3">
      <c r="A320" s="3" t="s">
        <v>541</v>
      </c>
      <c r="B320" s="6">
        <v>11.34</v>
      </c>
      <c r="C320" s="11">
        <f t="shared" si="5"/>
        <v>1.4138064306997969E-3</v>
      </c>
    </row>
    <row r="321" spans="1:3" x14ac:dyDescent="0.3">
      <c r="A321" s="3" t="s">
        <v>542</v>
      </c>
      <c r="B321" s="6">
        <v>11.34</v>
      </c>
      <c r="C321" s="11">
        <f t="shared" si="5"/>
        <v>1.4138064306997969E-3</v>
      </c>
    </row>
    <row r="322" spans="1:3" x14ac:dyDescent="0.3">
      <c r="A322" s="3" t="s">
        <v>543</v>
      </c>
      <c r="B322" s="6">
        <v>11.34</v>
      </c>
      <c r="C322" s="11">
        <f t="shared" si="5"/>
        <v>1.4138064306997969E-3</v>
      </c>
    </row>
    <row r="323" spans="1:3" x14ac:dyDescent="0.3">
      <c r="A323" s="3" t="s">
        <v>544</v>
      </c>
      <c r="B323" s="6">
        <v>11.34</v>
      </c>
      <c r="C323" s="11">
        <f t="shared" ref="C323:C386" si="6">IFERROR(B323/$B$98,"")</f>
        <v>1.4138064306997969E-3</v>
      </c>
    </row>
    <row r="324" spans="1:3" x14ac:dyDescent="0.3">
      <c r="A324" s="3" t="s">
        <v>545</v>
      </c>
      <c r="B324" s="6">
        <v>11.34</v>
      </c>
      <c r="C324" s="11">
        <f t="shared" si="6"/>
        <v>1.4138064306997969E-3</v>
      </c>
    </row>
    <row r="325" spans="1:3" x14ac:dyDescent="0.3">
      <c r="A325" s="3" t="s">
        <v>546</v>
      </c>
      <c r="B325" s="6">
        <v>11.34</v>
      </c>
      <c r="C325" s="11">
        <f t="shared" si="6"/>
        <v>1.4138064306997969E-3</v>
      </c>
    </row>
    <row r="326" spans="1:3" x14ac:dyDescent="0.3">
      <c r="A326" s="3" t="s">
        <v>547</v>
      </c>
      <c r="B326" s="6">
        <v>11.34</v>
      </c>
      <c r="C326" s="11">
        <f t="shared" si="6"/>
        <v>1.4138064306997969E-3</v>
      </c>
    </row>
    <row r="327" spans="1:3" x14ac:dyDescent="0.3">
      <c r="A327" s="3" t="s">
        <v>548</v>
      </c>
      <c r="B327" s="6">
        <v>11.34</v>
      </c>
      <c r="C327" s="11">
        <f t="shared" si="6"/>
        <v>1.4138064306997969E-3</v>
      </c>
    </row>
    <row r="328" spans="1:3" x14ac:dyDescent="0.3">
      <c r="A328" s="3" t="s">
        <v>549</v>
      </c>
      <c r="B328" s="6">
        <v>11.34</v>
      </c>
      <c r="C328" s="11">
        <f t="shared" si="6"/>
        <v>1.4138064306997969E-3</v>
      </c>
    </row>
    <row r="329" spans="1:3" x14ac:dyDescent="0.3">
      <c r="A329" s="3" t="s">
        <v>550</v>
      </c>
      <c r="B329" s="6">
        <v>11.34</v>
      </c>
      <c r="C329" s="11">
        <f t="shared" si="6"/>
        <v>1.4138064306997969E-3</v>
      </c>
    </row>
    <row r="330" spans="1:3" x14ac:dyDescent="0.3">
      <c r="A330" s="3" t="s">
        <v>551</v>
      </c>
      <c r="B330" s="6">
        <v>11.34</v>
      </c>
      <c r="C330" s="11">
        <f t="shared" si="6"/>
        <v>1.4138064306997969E-3</v>
      </c>
    </row>
    <row r="331" spans="1:3" x14ac:dyDescent="0.3">
      <c r="A331" s="3" t="s">
        <v>552</v>
      </c>
      <c r="B331" s="6">
        <v>11.34</v>
      </c>
      <c r="C331" s="11">
        <f t="shared" si="6"/>
        <v>1.4138064306997969E-3</v>
      </c>
    </row>
    <row r="332" spans="1:3" x14ac:dyDescent="0.3">
      <c r="A332" s="3" t="s">
        <v>553</v>
      </c>
      <c r="B332" s="6">
        <v>11.34</v>
      </c>
      <c r="C332" s="11">
        <f t="shared" si="6"/>
        <v>1.4138064306997969E-3</v>
      </c>
    </row>
    <row r="333" spans="1:3" x14ac:dyDescent="0.3">
      <c r="A333" s="3" t="s">
        <v>554</v>
      </c>
      <c r="B333" s="6">
        <v>11.34</v>
      </c>
      <c r="C333" s="11">
        <f t="shared" si="6"/>
        <v>1.4138064306997969E-3</v>
      </c>
    </row>
    <row r="334" spans="1:3" x14ac:dyDescent="0.3">
      <c r="A334" s="3" t="s">
        <v>555</v>
      </c>
      <c r="B334" s="6">
        <v>11.34</v>
      </c>
      <c r="C334" s="11">
        <f t="shared" si="6"/>
        <v>1.4138064306997969E-3</v>
      </c>
    </row>
    <row r="335" spans="1:3" x14ac:dyDescent="0.3">
      <c r="A335" s="3" t="s">
        <v>556</v>
      </c>
      <c r="B335" s="6">
        <v>11.34</v>
      </c>
      <c r="C335" s="11">
        <f t="shared" si="6"/>
        <v>1.4138064306997969E-3</v>
      </c>
    </row>
    <row r="336" spans="1:3" x14ac:dyDescent="0.3">
      <c r="A336" s="3" t="s">
        <v>557</v>
      </c>
      <c r="B336" s="6">
        <v>11.34</v>
      </c>
      <c r="C336" s="11">
        <f t="shared" si="6"/>
        <v>1.4138064306997969E-3</v>
      </c>
    </row>
    <row r="337" spans="1:3" x14ac:dyDescent="0.3">
      <c r="A337" s="3" t="s">
        <v>558</v>
      </c>
      <c r="B337" s="6">
        <v>11.34</v>
      </c>
      <c r="C337" s="11">
        <f t="shared" si="6"/>
        <v>1.4138064306997969E-3</v>
      </c>
    </row>
    <row r="338" spans="1:3" x14ac:dyDescent="0.3">
      <c r="A338" s="3" t="s">
        <v>559</v>
      </c>
      <c r="B338" s="6">
        <v>11.34</v>
      </c>
      <c r="C338" s="11">
        <f t="shared" si="6"/>
        <v>1.4138064306997969E-3</v>
      </c>
    </row>
    <row r="339" spans="1:3" x14ac:dyDescent="0.3">
      <c r="A339" s="3" t="s">
        <v>560</v>
      </c>
      <c r="B339" s="6">
        <v>11.34</v>
      </c>
      <c r="C339" s="11">
        <f t="shared" si="6"/>
        <v>1.4138064306997969E-3</v>
      </c>
    </row>
    <row r="340" spans="1:3" x14ac:dyDescent="0.3">
      <c r="A340" s="3" t="s">
        <v>561</v>
      </c>
      <c r="B340" s="6">
        <v>11.34</v>
      </c>
      <c r="C340" s="11">
        <f t="shared" si="6"/>
        <v>1.4138064306997969E-3</v>
      </c>
    </row>
    <row r="341" spans="1:3" x14ac:dyDescent="0.3">
      <c r="A341" s="3" t="s">
        <v>562</v>
      </c>
      <c r="B341" s="6">
        <v>11.34</v>
      </c>
      <c r="C341" s="11">
        <f t="shared" si="6"/>
        <v>1.4138064306997969E-3</v>
      </c>
    </row>
    <row r="342" spans="1:3" x14ac:dyDescent="0.3">
      <c r="A342" s="3" t="s">
        <v>563</v>
      </c>
      <c r="B342" s="6">
        <v>11.34</v>
      </c>
      <c r="C342" s="11">
        <f t="shared" si="6"/>
        <v>1.4138064306997969E-3</v>
      </c>
    </row>
    <row r="343" spans="1:3" x14ac:dyDescent="0.3">
      <c r="A343" s="3" t="s">
        <v>564</v>
      </c>
      <c r="B343" s="6">
        <v>11.34</v>
      </c>
      <c r="C343" s="11">
        <f t="shared" si="6"/>
        <v>1.4138064306997969E-3</v>
      </c>
    </row>
    <row r="344" spans="1:3" x14ac:dyDescent="0.3">
      <c r="A344" s="3" t="s">
        <v>565</v>
      </c>
      <c r="B344" s="6">
        <v>11.34</v>
      </c>
      <c r="C344" s="11">
        <f t="shared" si="6"/>
        <v>1.4138064306997969E-3</v>
      </c>
    </row>
    <row r="345" spans="1:3" x14ac:dyDescent="0.3">
      <c r="A345" s="3" t="s">
        <v>566</v>
      </c>
      <c r="B345" s="6">
        <v>11.34</v>
      </c>
      <c r="C345" s="11">
        <f t="shared" si="6"/>
        <v>1.4138064306997969E-3</v>
      </c>
    </row>
    <row r="346" spans="1:3" x14ac:dyDescent="0.3">
      <c r="A346" s="3" t="s">
        <v>567</v>
      </c>
      <c r="B346" s="6">
        <v>11.34</v>
      </c>
      <c r="C346" s="11">
        <f t="shared" si="6"/>
        <v>1.4138064306997969E-3</v>
      </c>
    </row>
    <row r="347" spans="1:3" x14ac:dyDescent="0.3">
      <c r="A347" s="3" t="s">
        <v>568</v>
      </c>
      <c r="B347" s="6">
        <v>11.34</v>
      </c>
      <c r="C347" s="11">
        <f t="shared" si="6"/>
        <v>1.4138064306997969E-3</v>
      </c>
    </row>
    <row r="348" spans="1:3" x14ac:dyDescent="0.3">
      <c r="A348" s="3" t="s">
        <v>569</v>
      </c>
      <c r="B348" s="6">
        <v>11.34</v>
      </c>
      <c r="C348" s="11">
        <f t="shared" si="6"/>
        <v>1.4138064306997969E-3</v>
      </c>
    </row>
    <row r="349" spans="1:3" x14ac:dyDescent="0.3">
      <c r="A349" s="3" t="s">
        <v>570</v>
      </c>
      <c r="B349" s="6">
        <v>10.8</v>
      </c>
      <c r="C349" s="11">
        <f t="shared" si="6"/>
        <v>1.3464823149521876E-3</v>
      </c>
    </row>
    <row r="350" spans="1:3" x14ac:dyDescent="0.3">
      <c r="A350" s="3" t="s">
        <v>571</v>
      </c>
      <c r="B350" s="6">
        <v>10.8</v>
      </c>
      <c r="C350" s="11">
        <f t="shared" si="6"/>
        <v>1.3464823149521876E-3</v>
      </c>
    </row>
    <row r="351" spans="1:3" x14ac:dyDescent="0.3">
      <c r="A351" s="3" t="s">
        <v>572</v>
      </c>
      <c r="B351" s="6">
        <v>10.8</v>
      </c>
      <c r="C351" s="11">
        <f t="shared" si="6"/>
        <v>1.3464823149521876E-3</v>
      </c>
    </row>
    <row r="352" spans="1:3" x14ac:dyDescent="0.3">
      <c r="A352" s="3" t="s">
        <v>573</v>
      </c>
      <c r="B352" s="6">
        <v>10.8</v>
      </c>
      <c r="C352" s="11">
        <f t="shared" si="6"/>
        <v>1.3464823149521876E-3</v>
      </c>
    </row>
    <row r="353" spans="1:3" x14ac:dyDescent="0.3">
      <c r="A353" s="3" t="s">
        <v>574</v>
      </c>
      <c r="B353" s="6">
        <v>10.8</v>
      </c>
      <c r="C353" s="11">
        <f t="shared" si="6"/>
        <v>1.3464823149521876E-3</v>
      </c>
    </row>
    <row r="354" spans="1:3" x14ac:dyDescent="0.3">
      <c r="A354" s="3" t="s">
        <v>575</v>
      </c>
      <c r="B354" s="6">
        <v>10.8</v>
      </c>
      <c r="C354" s="11">
        <f t="shared" si="6"/>
        <v>1.3464823149521876E-3</v>
      </c>
    </row>
    <row r="355" spans="1:3" x14ac:dyDescent="0.3">
      <c r="A355" s="3" t="s">
        <v>576</v>
      </c>
      <c r="B355" s="6">
        <v>10.8</v>
      </c>
      <c r="C355" s="11">
        <f t="shared" si="6"/>
        <v>1.3464823149521876E-3</v>
      </c>
    </row>
    <row r="356" spans="1:3" x14ac:dyDescent="0.3">
      <c r="A356" s="3" t="s">
        <v>577</v>
      </c>
      <c r="B356" s="6">
        <v>10.8</v>
      </c>
      <c r="C356" s="11">
        <f t="shared" si="6"/>
        <v>1.3464823149521876E-3</v>
      </c>
    </row>
    <row r="357" spans="1:3" x14ac:dyDescent="0.3">
      <c r="A357" s="3" t="s">
        <v>578</v>
      </c>
      <c r="B357" s="6">
        <v>10.8</v>
      </c>
      <c r="C357" s="11">
        <f t="shared" si="6"/>
        <v>1.3464823149521876E-3</v>
      </c>
    </row>
    <row r="358" spans="1:3" x14ac:dyDescent="0.3">
      <c r="A358" s="3" t="s">
        <v>579</v>
      </c>
      <c r="B358" s="6">
        <v>10.8</v>
      </c>
      <c r="C358" s="11">
        <f t="shared" si="6"/>
        <v>1.3464823149521876E-3</v>
      </c>
    </row>
    <row r="359" spans="1:3" x14ac:dyDescent="0.3">
      <c r="A359" s="3" t="s">
        <v>580</v>
      </c>
      <c r="B359" s="6">
        <v>10.8</v>
      </c>
      <c r="C359" s="11">
        <f t="shared" si="6"/>
        <v>1.3464823149521876E-3</v>
      </c>
    </row>
    <row r="360" spans="1:3" x14ac:dyDescent="0.3">
      <c r="A360" s="3" t="s">
        <v>581</v>
      </c>
      <c r="B360" s="6">
        <v>10.8</v>
      </c>
      <c r="C360" s="11">
        <f t="shared" si="6"/>
        <v>1.3464823149521876E-3</v>
      </c>
    </row>
    <row r="361" spans="1:3" x14ac:dyDescent="0.3">
      <c r="A361" s="3" t="s">
        <v>582</v>
      </c>
      <c r="B361" s="6">
        <v>10.8</v>
      </c>
      <c r="C361" s="11">
        <f t="shared" si="6"/>
        <v>1.3464823149521876E-3</v>
      </c>
    </row>
    <row r="362" spans="1:3" x14ac:dyDescent="0.3">
      <c r="A362" s="3" t="s">
        <v>583</v>
      </c>
      <c r="B362" s="6">
        <v>10.8</v>
      </c>
      <c r="C362" s="11">
        <f t="shared" si="6"/>
        <v>1.3464823149521876E-3</v>
      </c>
    </row>
    <row r="363" spans="1:3" x14ac:dyDescent="0.3">
      <c r="A363" s="3" t="s">
        <v>584</v>
      </c>
      <c r="B363" s="6">
        <v>10.8</v>
      </c>
      <c r="C363" s="11">
        <f t="shared" si="6"/>
        <v>1.3464823149521876E-3</v>
      </c>
    </row>
    <row r="364" spans="1:3" x14ac:dyDescent="0.3">
      <c r="A364" s="3" t="s">
        <v>585</v>
      </c>
      <c r="B364" s="6">
        <v>10.8</v>
      </c>
      <c r="C364" s="11">
        <f t="shared" si="6"/>
        <v>1.3464823149521876E-3</v>
      </c>
    </row>
    <row r="365" spans="1:3" x14ac:dyDescent="0.3">
      <c r="A365" s="3" t="s">
        <v>586</v>
      </c>
      <c r="B365" s="6">
        <v>10.8</v>
      </c>
      <c r="C365" s="11">
        <f t="shared" si="6"/>
        <v>1.3464823149521876E-3</v>
      </c>
    </row>
    <row r="366" spans="1:3" x14ac:dyDescent="0.3">
      <c r="A366" s="3" t="s">
        <v>587</v>
      </c>
      <c r="B366" s="6">
        <v>10.8</v>
      </c>
      <c r="C366" s="11">
        <f t="shared" si="6"/>
        <v>1.3464823149521876E-3</v>
      </c>
    </row>
    <row r="367" spans="1:3" x14ac:dyDescent="0.3">
      <c r="A367" s="3" t="s">
        <v>588</v>
      </c>
      <c r="B367" s="6">
        <v>10.8</v>
      </c>
      <c r="C367" s="11">
        <f t="shared" si="6"/>
        <v>1.3464823149521876E-3</v>
      </c>
    </row>
    <row r="368" spans="1:3" x14ac:dyDescent="0.3">
      <c r="A368" s="3" t="s">
        <v>589</v>
      </c>
      <c r="B368" s="6">
        <v>10.8</v>
      </c>
      <c r="C368" s="11">
        <f t="shared" si="6"/>
        <v>1.3464823149521876E-3</v>
      </c>
    </row>
    <row r="369" spans="1:3" x14ac:dyDescent="0.3">
      <c r="A369" s="3" t="s">
        <v>590</v>
      </c>
      <c r="B369" s="6">
        <v>10.98</v>
      </c>
      <c r="C369" s="11">
        <f t="shared" si="6"/>
        <v>1.3689236868680574E-3</v>
      </c>
    </row>
    <row r="370" spans="1:3" x14ac:dyDescent="0.3">
      <c r="A370" s="3" t="s">
        <v>591</v>
      </c>
      <c r="B370" s="6">
        <v>10.98</v>
      </c>
      <c r="C370" s="11">
        <f t="shared" si="6"/>
        <v>1.3689236868680574E-3</v>
      </c>
    </row>
    <row r="371" spans="1:3" x14ac:dyDescent="0.3">
      <c r="A371" s="3" t="s">
        <v>592</v>
      </c>
      <c r="B371" s="6">
        <v>10.98</v>
      </c>
      <c r="C371" s="11">
        <f t="shared" si="6"/>
        <v>1.3689236868680574E-3</v>
      </c>
    </row>
    <row r="372" spans="1:3" x14ac:dyDescent="0.3">
      <c r="A372" s="3" t="s">
        <v>593</v>
      </c>
      <c r="B372" s="6">
        <v>10.98</v>
      </c>
      <c r="C372" s="11">
        <f t="shared" si="6"/>
        <v>1.3689236868680574E-3</v>
      </c>
    </row>
    <row r="373" spans="1:3" x14ac:dyDescent="0.3">
      <c r="A373" s="3" t="s">
        <v>594</v>
      </c>
      <c r="B373" s="6">
        <v>10.98</v>
      </c>
      <c r="C373" s="11">
        <f t="shared" si="6"/>
        <v>1.3689236868680574E-3</v>
      </c>
    </row>
    <row r="374" spans="1:3" x14ac:dyDescent="0.3">
      <c r="A374" s="3" t="s">
        <v>595</v>
      </c>
      <c r="B374" s="6">
        <v>10.98</v>
      </c>
      <c r="C374" s="11">
        <f t="shared" si="6"/>
        <v>1.3689236868680574E-3</v>
      </c>
    </row>
    <row r="375" spans="1:3" x14ac:dyDescent="0.3">
      <c r="A375" s="3" t="s">
        <v>596</v>
      </c>
      <c r="B375" s="6">
        <v>10.98</v>
      </c>
      <c r="C375" s="11">
        <f t="shared" si="6"/>
        <v>1.3689236868680574E-3</v>
      </c>
    </row>
    <row r="376" spans="1:3" x14ac:dyDescent="0.3">
      <c r="A376" s="3" t="s">
        <v>597</v>
      </c>
      <c r="B376" s="6">
        <v>10.98</v>
      </c>
      <c r="C376" s="11">
        <f t="shared" si="6"/>
        <v>1.3689236868680574E-3</v>
      </c>
    </row>
    <row r="377" spans="1:3" x14ac:dyDescent="0.3">
      <c r="A377" s="3" t="s">
        <v>598</v>
      </c>
      <c r="B377" s="6">
        <v>10.98</v>
      </c>
      <c r="C377" s="11">
        <f t="shared" si="6"/>
        <v>1.3689236868680574E-3</v>
      </c>
    </row>
    <row r="378" spans="1:3" x14ac:dyDescent="0.3">
      <c r="A378" s="3" t="s">
        <v>599</v>
      </c>
      <c r="B378" s="6">
        <v>10.98</v>
      </c>
      <c r="C378" s="11">
        <f t="shared" si="6"/>
        <v>1.3689236868680574E-3</v>
      </c>
    </row>
    <row r="379" spans="1:3" x14ac:dyDescent="0.3">
      <c r="A379" s="3" t="s">
        <v>600</v>
      </c>
      <c r="B379" s="6">
        <v>10.98</v>
      </c>
      <c r="C379" s="11">
        <f t="shared" si="6"/>
        <v>1.3689236868680574E-3</v>
      </c>
    </row>
    <row r="380" spans="1:3" x14ac:dyDescent="0.3">
      <c r="A380" s="3" t="s">
        <v>601</v>
      </c>
      <c r="B380" s="6">
        <v>10.98</v>
      </c>
      <c r="C380" s="11">
        <f t="shared" si="6"/>
        <v>1.3689236868680574E-3</v>
      </c>
    </row>
    <row r="381" spans="1:3" x14ac:dyDescent="0.3">
      <c r="A381" s="3" t="s">
        <v>602</v>
      </c>
      <c r="B381" s="6">
        <v>10.98</v>
      </c>
      <c r="C381" s="11">
        <f t="shared" si="6"/>
        <v>1.3689236868680574E-3</v>
      </c>
    </row>
    <row r="382" spans="1:3" x14ac:dyDescent="0.3">
      <c r="A382" s="3" t="s">
        <v>603</v>
      </c>
      <c r="B382" s="6">
        <v>10.98</v>
      </c>
      <c r="C382" s="11">
        <f t="shared" si="6"/>
        <v>1.3689236868680574E-3</v>
      </c>
    </row>
    <row r="383" spans="1:3" x14ac:dyDescent="0.3">
      <c r="A383" s="3" t="s">
        <v>604</v>
      </c>
      <c r="B383" s="6">
        <v>10.98</v>
      </c>
      <c r="C383" s="11">
        <f t="shared" si="6"/>
        <v>1.3689236868680574E-3</v>
      </c>
    </row>
    <row r="384" spans="1:3" x14ac:dyDescent="0.3">
      <c r="A384" s="3" t="s">
        <v>605</v>
      </c>
      <c r="B384" s="6">
        <v>10.98</v>
      </c>
      <c r="C384" s="11">
        <f t="shared" si="6"/>
        <v>1.3689236868680574E-3</v>
      </c>
    </row>
    <row r="385" spans="1:3" x14ac:dyDescent="0.3">
      <c r="A385" s="3" t="s">
        <v>606</v>
      </c>
      <c r="B385" s="6">
        <v>10.98</v>
      </c>
      <c r="C385" s="11">
        <f t="shared" si="6"/>
        <v>1.3689236868680574E-3</v>
      </c>
    </row>
    <row r="386" spans="1:3" x14ac:dyDescent="0.3">
      <c r="A386" s="3" t="s">
        <v>607</v>
      </c>
      <c r="B386" s="6">
        <v>10.98</v>
      </c>
      <c r="C386" s="11">
        <f t="shared" si="6"/>
        <v>1.3689236868680574E-3</v>
      </c>
    </row>
    <row r="387" spans="1:3" x14ac:dyDescent="0.3">
      <c r="A387" s="3" t="s">
        <v>608</v>
      </c>
      <c r="B387" s="6">
        <v>10.98</v>
      </c>
      <c r="C387" s="11">
        <f t="shared" ref="C387:C450" si="7">IFERROR(B387/$B$98,"")</f>
        <v>1.3689236868680574E-3</v>
      </c>
    </row>
    <row r="388" spans="1:3" x14ac:dyDescent="0.3">
      <c r="A388" s="3" t="s">
        <v>609</v>
      </c>
      <c r="B388" s="6">
        <v>10.98</v>
      </c>
      <c r="C388" s="11">
        <f t="shared" si="7"/>
        <v>1.3689236868680574E-3</v>
      </c>
    </row>
    <row r="389" spans="1:3" x14ac:dyDescent="0.3">
      <c r="A389" s="3" t="s">
        <v>610</v>
      </c>
      <c r="B389" s="6">
        <v>10.98</v>
      </c>
      <c r="C389" s="11">
        <f t="shared" si="7"/>
        <v>1.3689236868680574E-3</v>
      </c>
    </row>
    <row r="390" spans="1:3" x14ac:dyDescent="0.3">
      <c r="A390" s="3" t="s">
        <v>611</v>
      </c>
      <c r="B390" s="6">
        <v>10.98</v>
      </c>
      <c r="C390" s="11">
        <f t="shared" si="7"/>
        <v>1.3689236868680574E-3</v>
      </c>
    </row>
    <row r="391" spans="1:3" x14ac:dyDescent="0.3">
      <c r="A391" s="3" t="s">
        <v>612</v>
      </c>
      <c r="B391" s="6">
        <v>10.98</v>
      </c>
      <c r="C391" s="11">
        <f t="shared" si="7"/>
        <v>1.3689236868680574E-3</v>
      </c>
    </row>
    <row r="392" spans="1:3" x14ac:dyDescent="0.3">
      <c r="A392" s="3" t="s">
        <v>613</v>
      </c>
      <c r="B392" s="6">
        <v>10.98</v>
      </c>
      <c r="C392" s="11">
        <f t="shared" si="7"/>
        <v>1.3689236868680574E-3</v>
      </c>
    </row>
    <row r="393" spans="1:3" x14ac:dyDescent="0.3">
      <c r="A393" s="3" t="s">
        <v>614</v>
      </c>
      <c r="B393" s="6">
        <v>10.98</v>
      </c>
      <c r="C393" s="11">
        <f t="shared" si="7"/>
        <v>1.3689236868680574E-3</v>
      </c>
    </row>
    <row r="394" spans="1:3" x14ac:dyDescent="0.3">
      <c r="A394" s="3" t="s">
        <v>615</v>
      </c>
      <c r="B394" s="6">
        <v>10.98</v>
      </c>
      <c r="C394" s="11">
        <f t="shared" si="7"/>
        <v>1.3689236868680574E-3</v>
      </c>
    </row>
    <row r="395" spans="1:3" x14ac:dyDescent="0.3">
      <c r="A395" s="3" t="s">
        <v>616</v>
      </c>
      <c r="B395" s="6">
        <v>10.98</v>
      </c>
      <c r="C395" s="11">
        <f t="shared" si="7"/>
        <v>1.3689236868680574E-3</v>
      </c>
    </row>
    <row r="396" spans="1:3" x14ac:dyDescent="0.3">
      <c r="A396" s="3" t="s">
        <v>617</v>
      </c>
      <c r="B396" s="6">
        <v>10.98</v>
      </c>
      <c r="C396" s="11">
        <f t="shared" si="7"/>
        <v>1.3689236868680574E-3</v>
      </c>
    </row>
    <row r="397" spans="1:3" x14ac:dyDescent="0.3">
      <c r="A397" s="3" t="s">
        <v>618</v>
      </c>
      <c r="B397" s="6">
        <v>10.98</v>
      </c>
      <c r="C397" s="11">
        <f t="shared" si="7"/>
        <v>1.3689236868680574E-3</v>
      </c>
    </row>
    <row r="398" spans="1:3" x14ac:dyDescent="0.3">
      <c r="A398" s="3" t="s">
        <v>619</v>
      </c>
      <c r="B398" s="6">
        <v>10.98</v>
      </c>
      <c r="C398" s="11">
        <f t="shared" si="7"/>
        <v>1.3689236868680574E-3</v>
      </c>
    </row>
    <row r="399" spans="1:3" x14ac:dyDescent="0.3">
      <c r="A399" s="3" t="s">
        <v>620</v>
      </c>
      <c r="B399" s="6">
        <v>10.98</v>
      </c>
      <c r="C399" s="11">
        <f t="shared" si="7"/>
        <v>1.3689236868680574E-3</v>
      </c>
    </row>
    <row r="400" spans="1:3" x14ac:dyDescent="0.3">
      <c r="A400" s="3" t="s">
        <v>621</v>
      </c>
      <c r="B400" s="6">
        <v>10.98</v>
      </c>
      <c r="C400" s="11">
        <f t="shared" si="7"/>
        <v>1.3689236868680574E-3</v>
      </c>
    </row>
    <row r="401" spans="1:3" x14ac:dyDescent="0.3">
      <c r="A401" s="3" t="s">
        <v>622</v>
      </c>
      <c r="B401" s="6">
        <v>10.98</v>
      </c>
      <c r="C401" s="11">
        <f t="shared" si="7"/>
        <v>1.3689236868680574E-3</v>
      </c>
    </row>
    <row r="402" spans="1:3" x14ac:dyDescent="0.3">
      <c r="A402" s="3" t="s">
        <v>623</v>
      </c>
      <c r="B402" s="6">
        <v>10.98</v>
      </c>
      <c r="C402" s="11">
        <f t="shared" si="7"/>
        <v>1.3689236868680574E-3</v>
      </c>
    </row>
    <row r="403" spans="1:3" x14ac:dyDescent="0.3">
      <c r="A403" s="3" t="s">
        <v>624</v>
      </c>
      <c r="B403" s="6">
        <v>10.98</v>
      </c>
      <c r="C403" s="11">
        <f t="shared" si="7"/>
        <v>1.3689236868680574E-3</v>
      </c>
    </row>
    <row r="404" spans="1:3" x14ac:dyDescent="0.3">
      <c r="A404" s="3" t="s">
        <v>625</v>
      </c>
      <c r="B404" s="6">
        <v>10.98</v>
      </c>
      <c r="C404" s="11">
        <f t="shared" si="7"/>
        <v>1.3689236868680574E-3</v>
      </c>
    </row>
    <row r="405" spans="1:3" x14ac:dyDescent="0.3">
      <c r="A405" s="3" t="s">
        <v>626</v>
      </c>
      <c r="B405" s="6">
        <v>10.98</v>
      </c>
      <c r="C405" s="11">
        <f t="shared" si="7"/>
        <v>1.3689236868680574E-3</v>
      </c>
    </row>
    <row r="406" spans="1:3" x14ac:dyDescent="0.3">
      <c r="A406" s="3" t="s">
        <v>627</v>
      </c>
      <c r="B406" s="6">
        <v>10.98</v>
      </c>
      <c r="C406" s="11">
        <f t="shared" si="7"/>
        <v>1.3689236868680574E-3</v>
      </c>
    </row>
    <row r="407" spans="1:3" x14ac:dyDescent="0.3">
      <c r="A407" s="3" t="s">
        <v>628</v>
      </c>
      <c r="B407" s="6">
        <v>10.98</v>
      </c>
      <c r="C407" s="11">
        <f t="shared" si="7"/>
        <v>1.3689236868680574E-3</v>
      </c>
    </row>
    <row r="408" spans="1:3" x14ac:dyDescent="0.3">
      <c r="A408" s="3" t="s">
        <v>629</v>
      </c>
      <c r="B408" s="6">
        <v>10.98</v>
      </c>
      <c r="C408" s="11">
        <f t="shared" si="7"/>
        <v>1.3689236868680574E-3</v>
      </c>
    </row>
    <row r="409" spans="1:3" x14ac:dyDescent="0.3">
      <c r="A409" s="3" t="s">
        <v>630</v>
      </c>
      <c r="B409" s="6">
        <v>10.98</v>
      </c>
      <c r="C409" s="11">
        <f t="shared" si="7"/>
        <v>1.3689236868680574E-3</v>
      </c>
    </row>
    <row r="410" spans="1:3" x14ac:dyDescent="0.3">
      <c r="A410" s="3" t="s">
        <v>631</v>
      </c>
      <c r="B410" s="6">
        <v>10.98</v>
      </c>
      <c r="C410" s="11">
        <f t="shared" si="7"/>
        <v>1.3689236868680574E-3</v>
      </c>
    </row>
    <row r="411" spans="1:3" x14ac:dyDescent="0.3">
      <c r="A411" s="3" t="s">
        <v>632</v>
      </c>
      <c r="B411" s="6">
        <v>10.98</v>
      </c>
      <c r="C411" s="11">
        <f t="shared" si="7"/>
        <v>1.3689236868680574E-3</v>
      </c>
    </row>
    <row r="412" spans="1:3" x14ac:dyDescent="0.3">
      <c r="A412" s="3" t="s">
        <v>633</v>
      </c>
      <c r="B412" s="6">
        <v>10.98</v>
      </c>
      <c r="C412" s="11">
        <f t="shared" si="7"/>
        <v>1.3689236868680574E-3</v>
      </c>
    </row>
    <row r="413" spans="1:3" x14ac:dyDescent="0.3">
      <c r="A413" s="3" t="s">
        <v>634</v>
      </c>
      <c r="B413" s="6">
        <v>10.98</v>
      </c>
      <c r="C413" s="11">
        <f t="shared" si="7"/>
        <v>1.3689236868680574E-3</v>
      </c>
    </row>
    <row r="414" spans="1:3" x14ac:dyDescent="0.3">
      <c r="A414" s="3" t="s">
        <v>635</v>
      </c>
      <c r="B414" s="6">
        <v>10.98</v>
      </c>
      <c r="C414" s="11">
        <f t="shared" si="7"/>
        <v>1.3689236868680574E-3</v>
      </c>
    </row>
    <row r="415" spans="1:3" x14ac:dyDescent="0.3">
      <c r="A415" s="3" t="s">
        <v>636</v>
      </c>
      <c r="B415" s="6">
        <v>10.98</v>
      </c>
      <c r="C415" s="11">
        <f t="shared" si="7"/>
        <v>1.3689236868680574E-3</v>
      </c>
    </row>
    <row r="416" spans="1:3" x14ac:dyDescent="0.3">
      <c r="A416" s="3" t="s">
        <v>637</v>
      </c>
      <c r="B416" s="6">
        <v>10.98</v>
      </c>
      <c r="C416" s="11">
        <f t="shared" si="7"/>
        <v>1.3689236868680574E-3</v>
      </c>
    </row>
    <row r="417" spans="1:3" x14ac:dyDescent="0.3">
      <c r="A417" s="3" t="s">
        <v>638</v>
      </c>
      <c r="B417" s="6">
        <v>10.98</v>
      </c>
      <c r="C417" s="11">
        <f t="shared" si="7"/>
        <v>1.3689236868680574E-3</v>
      </c>
    </row>
    <row r="418" spans="1:3" x14ac:dyDescent="0.3">
      <c r="A418" s="3" t="s">
        <v>639</v>
      </c>
      <c r="B418" s="6">
        <v>10.98</v>
      </c>
      <c r="C418" s="11">
        <f t="shared" si="7"/>
        <v>1.3689236868680574E-3</v>
      </c>
    </row>
    <row r="419" spans="1:3" x14ac:dyDescent="0.3">
      <c r="A419" s="3" t="s">
        <v>640</v>
      </c>
      <c r="B419" s="6">
        <v>10.98</v>
      </c>
      <c r="C419" s="11">
        <f t="shared" si="7"/>
        <v>1.3689236868680574E-3</v>
      </c>
    </row>
    <row r="420" spans="1:3" x14ac:dyDescent="0.3">
      <c r="A420" s="3" t="s">
        <v>641</v>
      </c>
      <c r="B420" s="6">
        <v>10.98</v>
      </c>
      <c r="C420" s="11">
        <f t="shared" si="7"/>
        <v>1.3689236868680574E-3</v>
      </c>
    </row>
    <row r="421" spans="1:3" x14ac:dyDescent="0.3">
      <c r="A421" s="3" t="s">
        <v>642</v>
      </c>
      <c r="B421" s="6">
        <v>10.98</v>
      </c>
      <c r="C421" s="11">
        <f t="shared" si="7"/>
        <v>1.3689236868680574E-3</v>
      </c>
    </row>
    <row r="422" spans="1:3" x14ac:dyDescent="0.3">
      <c r="A422" s="3" t="s">
        <v>643</v>
      </c>
      <c r="B422" s="6">
        <v>10.98</v>
      </c>
      <c r="C422" s="11">
        <f t="shared" si="7"/>
        <v>1.3689236868680574E-3</v>
      </c>
    </row>
    <row r="423" spans="1:3" x14ac:dyDescent="0.3">
      <c r="A423" s="3" t="s">
        <v>644</v>
      </c>
      <c r="B423" s="6">
        <v>10.98</v>
      </c>
      <c r="C423" s="11">
        <f t="shared" si="7"/>
        <v>1.3689236868680574E-3</v>
      </c>
    </row>
    <row r="424" spans="1:3" x14ac:dyDescent="0.3">
      <c r="A424" s="3" t="s">
        <v>645</v>
      </c>
      <c r="B424" s="6">
        <v>10.98</v>
      </c>
      <c r="C424" s="11">
        <f t="shared" si="7"/>
        <v>1.3689236868680574E-3</v>
      </c>
    </row>
    <row r="425" spans="1:3" x14ac:dyDescent="0.3">
      <c r="A425" s="3" t="s">
        <v>646</v>
      </c>
      <c r="B425" s="6">
        <v>10.98</v>
      </c>
      <c r="C425" s="11">
        <f t="shared" si="7"/>
        <v>1.3689236868680574E-3</v>
      </c>
    </row>
    <row r="426" spans="1:3" x14ac:dyDescent="0.3">
      <c r="A426" s="3" t="s">
        <v>647</v>
      </c>
      <c r="B426" s="6">
        <v>10.98</v>
      </c>
      <c r="C426" s="11">
        <f t="shared" si="7"/>
        <v>1.3689236868680574E-3</v>
      </c>
    </row>
    <row r="427" spans="1:3" x14ac:dyDescent="0.3">
      <c r="A427" s="3" t="s">
        <v>648</v>
      </c>
      <c r="B427" s="6">
        <v>10.98</v>
      </c>
      <c r="C427" s="11">
        <f t="shared" si="7"/>
        <v>1.3689236868680574E-3</v>
      </c>
    </row>
    <row r="428" spans="1:3" x14ac:dyDescent="0.3">
      <c r="A428" s="3" t="s">
        <v>649</v>
      </c>
      <c r="B428" s="6">
        <v>10.98</v>
      </c>
      <c r="C428" s="11">
        <f t="shared" si="7"/>
        <v>1.3689236868680574E-3</v>
      </c>
    </row>
    <row r="429" spans="1:3" x14ac:dyDescent="0.3">
      <c r="A429" s="3" t="s">
        <v>650</v>
      </c>
      <c r="B429" s="6">
        <v>10.98</v>
      </c>
      <c r="C429" s="11">
        <f t="shared" si="7"/>
        <v>1.3689236868680574E-3</v>
      </c>
    </row>
    <row r="430" spans="1:3" x14ac:dyDescent="0.3">
      <c r="A430" s="3" t="s">
        <v>651</v>
      </c>
      <c r="B430" s="6">
        <v>10.98</v>
      </c>
      <c r="C430" s="11">
        <f t="shared" si="7"/>
        <v>1.3689236868680574E-3</v>
      </c>
    </row>
    <row r="431" spans="1:3" x14ac:dyDescent="0.3">
      <c r="A431" s="3" t="s">
        <v>652</v>
      </c>
      <c r="B431" s="6">
        <v>10.98</v>
      </c>
      <c r="C431" s="11">
        <f t="shared" si="7"/>
        <v>1.3689236868680574E-3</v>
      </c>
    </row>
    <row r="432" spans="1:3" x14ac:dyDescent="0.3">
      <c r="A432" s="3" t="s">
        <v>653</v>
      </c>
      <c r="B432" s="6">
        <v>10.98</v>
      </c>
      <c r="C432" s="11">
        <f t="shared" si="7"/>
        <v>1.3689236868680574E-3</v>
      </c>
    </row>
    <row r="433" spans="1:3" x14ac:dyDescent="0.3">
      <c r="A433" s="3" t="s">
        <v>654</v>
      </c>
      <c r="B433" s="6">
        <v>10.98</v>
      </c>
      <c r="C433" s="11">
        <f t="shared" si="7"/>
        <v>1.3689236868680574E-3</v>
      </c>
    </row>
    <row r="434" spans="1:3" x14ac:dyDescent="0.3">
      <c r="A434" s="3" t="s">
        <v>655</v>
      </c>
      <c r="B434" s="6">
        <v>10.98</v>
      </c>
      <c r="C434" s="11">
        <f t="shared" si="7"/>
        <v>1.3689236868680574E-3</v>
      </c>
    </row>
    <row r="435" spans="1:3" x14ac:dyDescent="0.3">
      <c r="A435" s="3" t="s">
        <v>656</v>
      </c>
      <c r="B435" s="6">
        <v>10.98</v>
      </c>
      <c r="C435" s="11">
        <f t="shared" si="7"/>
        <v>1.3689236868680574E-3</v>
      </c>
    </row>
    <row r="436" spans="1:3" x14ac:dyDescent="0.3">
      <c r="A436" s="3" t="s">
        <v>657</v>
      </c>
      <c r="B436" s="6">
        <v>10.98</v>
      </c>
      <c r="C436" s="11">
        <f t="shared" si="7"/>
        <v>1.3689236868680574E-3</v>
      </c>
    </row>
    <row r="437" spans="1:3" x14ac:dyDescent="0.3">
      <c r="A437" s="3" t="s">
        <v>658</v>
      </c>
      <c r="B437" s="6">
        <v>10.98</v>
      </c>
      <c r="C437" s="11">
        <f t="shared" si="7"/>
        <v>1.3689236868680574E-3</v>
      </c>
    </row>
    <row r="438" spans="1:3" x14ac:dyDescent="0.3">
      <c r="A438" s="3" t="s">
        <v>659</v>
      </c>
      <c r="B438" s="6">
        <v>10.98</v>
      </c>
      <c r="C438" s="11">
        <f t="shared" si="7"/>
        <v>1.3689236868680574E-3</v>
      </c>
    </row>
    <row r="439" spans="1:3" x14ac:dyDescent="0.3">
      <c r="A439" s="3" t="s">
        <v>660</v>
      </c>
      <c r="B439" s="6">
        <v>10.98</v>
      </c>
      <c r="C439" s="11">
        <f t="shared" si="7"/>
        <v>1.3689236868680574E-3</v>
      </c>
    </row>
    <row r="440" spans="1:3" x14ac:dyDescent="0.3">
      <c r="A440" s="3" t="s">
        <v>661</v>
      </c>
      <c r="B440" s="6">
        <v>10.98</v>
      </c>
      <c r="C440" s="11">
        <f t="shared" si="7"/>
        <v>1.3689236868680574E-3</v>
      </c>
    </row>
    <row r="441" spans="1:3" x14ac:dyDescent="0.3">
      <c r="A441" s="3" t="s">
        <v>662</v>
      </c>
      <c r="B441" s="6">
        <v>10.98</v>
      </c>
      <c r="C441" s="11">
        <f t="shared" si="7"/>
        <v>1.3689236868680574E-3</v>
      </c>
    </row>
    <row r="442" spans="1:3" x14ac:dyDescent="0.3">
      <c r="A442" s="3" t="s">
        <v>663</v>
      </c>
      <c r="B442" s="6">
        <v>10.98</v>
      </c>
      <c r="C442" s="11">
        <f t="shared" si="7"/>
        <v>1.3689236868680574E-3</v>
      </c>
    </row>
    <row r="443" spans="1:3" x14ac:dyDescent="0.3">
      <c r="A443" s="3" t="s">
        <v>664</v>
      </c>
      <c r="B443" s="6">
        <v>10.98</v>
      </c>
      <c r="C443" s="11">
        <f t="shared" si="7"/>
        <v>1.3689236868680574E-3</v>
      </c>
    </row>
    <row r="444" spans="1:3" x14ac:dyDescent="0.3">
      <c r="A444" s="3" t="s">
        <v>665</v>
      </c>
      <c r="B444" s="6">
        <v>10.98</v>
      </c>
      <c r="C444" s="11">
        <f t="shared" si="7"/>
        <v>1.3689236868680574E-3</v>
      </c>
    </row>
    <row r="445" spans="1:3" x14ac:dyDescent="0.3">
      <c r="A445" s="3" t="s">
        <v>666</v>
      </c>
      <c r="B445" s="6">
        <v>10.98</v>
      </c>
      <c r="C445" s="11">
        <f t="shared" si="7"/>
        <v>1.3689236868680574E-3</v>
      </c>
    </row>
    <row r="446" spans="1:3" x14ac:dyDescent="0.3">
      <c r="A446" s="3" t="s">
        <v>667</v>
      </c>
      <c r="B446" s="6">
        <v>10.98</v>
      </c>
      <c r="C446" s="11">
        <f t="shared" si="7"/>
        <v>1.3689236868680574E-3</v>
      </c>
    </row>
    <row r="447" spans="1:3" x14ac:dyDescent="0.3">
      <c r="A447" s="3" t="s">
        <v>668</v>
      </c>
      <c r="B447" s="6">
        <v>10.98</v>
      </c>
      <c r="C447" s="11">
        <f t="shared" si="7"/>
        <v>1.3689236868680574E-3</v>
      </c>
    </row>
    <row r="448" spans="1:3" x14ac:dyDescent="0.3">
      <c r="A448" s="3" t="s">
        <v>669</v>
      </c>
      <c r="B448" s="6">
        <v>10.98</v>
      </c>
      <c r="C448" s="11">
        <f t="shared" si="7"/>
        <v>1.3689236868680574E-3</v>
      </c>
    </row>
    <row r="449" spans="1:3" x14ac:dyDescent="0.3">
      <c r="A449" s="3" t="s">
        <v>670</v>
      </c>
      <c r="B449" s="6">
        <v>10.98</v>
      </c>
      <c r="C449" s="11">
        <f t="shared" si="7"/>
        <v>1.3689236868680574E-3</v>
      </c>
    </row>
    <row r="450" spans="1:3" x14ac:dyDescent="0.3">
      <c r="A450" s="3" t="s">
        <v>671</v>
      </c>
      <c r="B450" s="6">
        <v>10.98</v>
      </c>
      <c r="C450" s="11">
        <f t="shared" si="7"/>
        <v>1.3689236868680574E-3</v>
      </c>
    </row>
    <row r="451" spans="1:3" x14ac:dyDescent="0.3">
      <c r="A451" s="3" t="s">
        <v>672</v>
      </c>
      <c r="B451" s="6">
        <v>10.98</v>
      </c>
      <c r="C451" s="11">
        <f t="shared" ref="C451:C514" si="8">IFERROR(B451/$B$98,"")</f>
        <v>1.3689236868680574E-3</v>
      </c>
    </row>
    <row r="452" spans="1:3" x14ac:dyDescent="0.3">
      <c r="A452" s="3" t="s">
        <v>673</v>
      </c>
      <c r="B452" s="6">
        <v>10.98</v>
      </c>
      <c r="C452" s="11">
        <f t="shared" si="8"/>
        <v>1.3689236868680574E-3</v>
      </c>
    </row>
    <row r="453" spans="1:3" x14ac:dyDescent="0.3">
      <c r="A453" s="3" t="s">
        <v>674</v>
      </c>
      <c r="B453" s="6">
        <v>10.98</v>
      </c>
      <c r="C453" s="11">
        <f t="shared" si="8"/>
        <v>1.3689236868680574E-3</v>
      </c>
    </row>
    <row r="454" spans="1:3" x14ac:dyDescent="0.3">
      <c r="A454" s="3" t="s">
        <v>675</v>
      </c>
      <c r="B454" s="6">
        <v>10.98</v>
      </c>
      <c r="C454" s="11">
        <f t="shared" si="8"/>
        <v>1.3689236868680574E-3</v>
      </c>
    </row>
    <row r="455" spans="1:3" x14ac:dyDescent="0.3">
      <c r="A455" s="3" t="s">
        <v>676</v>
      </c>
      <c r="B455" s="6">
        <v>10.98</v>
      </c>
      <c r="C455" s="11">
        <f t="shared" si="8"/>
        <v>1.3689236868680574E-3</v>
      </c>
    </row>
    <row r="456" spans="1:3" x14ac:dyDescent="0.3">
      <c r="A456" s="3" t="s">
        <v>677</v>
      </c>
      <c r="B456" s="6">
        <v>10.98</v>
      </c>
      <c r="C456" s="11">
        <f t="shared" si="8"/>
        <v>1.3689236868680574E-3</v>
      </c>
    </row>
    <row r="457" spans="1:3" x14ac:dyDescent="0.3">
      <c r="A457" s="3" t="s">
        <v>678</v>
      </c>
      <c r="B457" s="6">
        <v>10.98</v>
      </c>
      <c r="C457" s="11">
        <f t="shared" si="8"/>
        <v>1.3689236868680574E-3</v>
      </c>
    </row>
    <row r="458" spans="1:3" x14ac:dyDescent="0.3">
      <c r="A458" s="3" t="s">
        <v>679</v>
      </c>
      <c r="B458" s="6">
        <v>10.98</v>
      </c>
      <c r="C458" s="11">
        <f t="shared" si="8"/>
        <v>1.3689236868680574E-3</v>
      </c>
    </row>
    <row r="459" spans="1:3" x14ac:dyDescent="0.3">
      <c r="A459" s="3" t="s">
        <v>680</v>
      </c>
      <c r="B459" s="6">
        <v>10.98</v>
      </c>
      <c r="C459" s="11">
        <f t="shared" si="8"/>
        <v>1.3689236868680574E-3</v>
      </c>
    </row>
    <row r="460" spans="1:3" x14ac:dyDescent="0.3">
      <c r="A460" s="3" t="s">
        <v>681</v>
      </c>
      <c r="B460" s="6">
        <v>10.98</v>
      </c>
      <c r="C460" s="11">
        <f t="shared" si="8"/>
        <v>1.3689236868680574E-3</v>
      </c>
    </row>
    <row r="461" spans="1:3" x14ac:dyDescent="0.3">
      <c r="A461" s="3" t="s">
        <v>682</v>
      </c>
      <c r="B461" s="6">
        <v>10.98</v>
      </c>
      <c r="C461" s="11">
        <f t="shared" si="8"/>
        <v>1.3689236868680574E-3</v>
      </c>
    </row>
    <row r="462" spans="1:3" x14ac:dyDescent="0.3">
      <c r="A462" s="3" t="s">
        <v>683</v>
      </c>
      <c r="B462" s="6">
        <v>10.98</v>
      </c>
      <c r="C462" s="11">
        <f t="shared" si="8"/>
        <v>1.3689236868680574E-3</v>
      </c>
    </row>
    <row r="463" spans="1:3" x14ac:dyDescent="0.3">
      <c r="A463" s="3" t="s">
        <v>684</v>
      </c>
      <c r="B463" s="6">
        <v>10.98</v>
      </c>
      <c r="C463" s="11">
        <f t="shared" si="8"/>
        <v>1.3689236868680574E-3</v>
      </c>
    </row>
    <row r="464" spans="1:3" x14ac:dyDescent="0.3">
      <c r="A464" s="3" t="s">
        <v>685</v>
      </c>
      <c r="B464" s="6">
        <v>10.98</v>
      </c>
      <c r="C464" s="11">
        <f t="shared" si="8"/>
        <v>1.3689236868680574E-3</v>
      </c>
    </row>
    <row r="465" spans="1:3" x14ac:dyDescent="0.3">
      <c r="A465" s="3" t="s">
        <v>686</v>
      </c>
      <c r="B465" s="6">
        <v>10.98</v>
      </c>
      <c r="C465" s="11">
        <f t="shared" si="8"/>
        <v>1.3689236868680574E-3</v>
      </c>
    </row>
    <row r="466" spans="1:3" x14ac:dyDescent="0.3">
      <c r="A466" s="3" t="s">
        <v>687</v>
      </c>
      <c r="B466" s="6">
        <v>10.98</v>
      </c>
      <c r="C466" s="11">
        <f t="shared" si="8"/>
        <v>1.3689236868680574E-3</v>
      </c>
    </row>
    <row r="467" spans="1:3" x14ac:dyDescent="0.3">
      <c r="A467" s="3" t="s">
        <v>688</v>
      </c>
      <c r="B467" s="6">
        <v>10.98</v>
      </c>
      <c r="C467" s="11">
        <f t="shared" si="8"/>
        <v>1.3689236868680574E-3</v>
      </c>
    </row>
    <row r="468" spans="1:3" x14ac:dyDescent="0.3">
      <c r="A468" s="3" t="s">
        <v>689</v>
      </c>
      <c r="B468" s="6">
        <v>10.98</v>
      </c>
      <c r="C468" s="11">
        <f t="shared" si="8"/>
        <v>1.3689236868680574E-3</v>
      </c>
    </row>
    <row r="469" spans="1:3" x14ac:dyDescent="0.3">
      <c r="A469" s="3" t="s">
        <v>690</v>
      </c>
      <c r="B469" s="6">
        <v>10.98</v>
      </c>
      <c r="C469" s="11">
        <f t="shared" si="8"/>
        <v>1.3689236868680574E-3</v>
      </c>
    </row>
    <row r="470" spans="1:3" x14ac:dyDescent="0.3">
      <c r="A470" s="3" t="s">
        <v>691</v>
      </c>
      <c r="B470" s="6">
        <v>10.98</v>
      </c>
      <c r="C470" s="11">
        <f t="shared" si="8"/>
        <v>1.3689236868680574E-3</v>
      </c>
    </row>
    <row r="471" spans="1:3" x14ac:dyDescent="0.3">
      <c r="A471" s="3" t="s">
        <v>692</v>
      </c>
      <c r="B471" s="6">
        <v>10.98</v>
      </c>
      <c r="C471" s="11">
        <f t="shared" si="8"/>
        <v>1.3689236868680574E-3</v>
      </c>
    </row>
    <row r="472" spans="1:3" x14ac:dyDescent="0.3">
      <c r="A472" s="3" t="s">
        <v>693</v>
      </c>
      <c r="B472" s="6">
        <v>10.98</v>
      </c>
      <c r="C472" s="11">
        <f t="shared" si="8"/>
        <v>1.3689236868680574E-3</v>
      </c>
    </row>
    <row r="473" spans="1:3" x14ac:dyDescent="0.3">
      <c r="A473" s="3" t="s">
        <v>694</v>
      </c>
      <c r="B473" s="6">
        <v>10.98</v>
      </c>
      <c r="C473" s="11">
        <f t="shared" si="8"/>
        <v>1.3689236868680574E-3</v>
      </c>
    </row>
    <row r="474" spans="1:3" x14ac:dyDescent="0.3">
      <c r="A474" s="3" t="s">
        <v>695</v>
      </c>
      <c r="B474" s="6">
        <v>10.98</v>
      </c>
      <c r="C474" s="11">
        <f t="shared" si="8"/>
        <v>1.3689236868680574E-3</v>
      </c>
    </row>
    <row r="475" spans="1:3" x14ac:dyDescent="0.3">
      <c r="A475" s="3" t="s">
        <v>696</v>
      </c>
      <c r="B475" s="6">
        <v>10.98</v>
      </c>
      <c r="C475" s="11">
        <f t="shared" si="8"/>
        <v>1.3689236868680574E-3</v>
      </c>
    </row>
    <row r="476" spans="1:3" x14ac:dyDescent="0.3">
      <c r="A476" s="3" t="s">
        <v>697</v>
      </c>
      <c r="B476" s="6">
        <v>10.98</v>
      </c>
      <c r="C476" s="11">
        <f t="shared" si="8"/>
        <v>1.3689236868680574E-3</v>
      </c>
    </row>
    <row r="477" spans="1:3" x14ac:dyDescent="0.3">
      <c r="A477" s="3" t="s">
        <v>698</v>
      </c>
      <c r="B477" s="6">
        <v>10.98</v>
      </c>
      <c r="C477" s="11">
        <f t="shared" si="8"/>
        <v>1.3689236868680574E-3</v>
      </c>
    </row>
    <row r="478" spans="1:3" x14ac:dyDescent="0.3">
      <c r="A478" s="3" t="s">
        <v>699</v>
      </c>
      <c r="B478" s="6">
        <v>10.98</v>
      </c>
      <c r="C478" s="11">
        <f t="shared" si="8"/>
        <v>1.3689236868680574E-3</v>
      </c>
    </row>
    <row r="479" spans="1:3" x14ac:dyDescent="0.3">
      <c r="A479" s="3" t="s">
        <v>700</v>
      </c>
      <c r="B479" s="6">
        <v>10.98</v>
      </c>
      <c r="C479" s="11">
        <f t="shared" si="8"/>
        <v>1.3689236868680574E-3</v>
      </c>
    </row>
    <row r="480" spans="1:3" x14ac:dyDescent="0.3">
      <c r="A480" s="3" t="s">
        <v>701</v>
      </c>
      <c r="B480" s="6">
        <v>10.98</v>
      </c>
      <c r="C480" s="11">
        <f t="shared" si="8"/>
        <v>1.3689236868680574E-3</v>
      </c>
    </row>
    <row r="481" spans="1:3" x14ac:dyDescent="0.3">
      <c r="A481" s="3" t="s">
        <v>702</v>
      </c>
      <c r="B481" s="6">
        <v>10.98</v>
      </c>
      <c r="C481" s="11">
        <f t="shared" si="8"/>
        <v>1.3689236868680574E-3</v>
      </c>
    </row>
    <row r="482" spans="1:3" x14ac:dyDescent="0.3">
      <c r="A482" s="3" t="s">
        <v>703</v>
      </c>
      <c r="B482" s="6">
        <v>10.98</v>
      </c>
      <c r="C482" s="11">
        <f t="shared" si="8"/>
        <v>1.3689236868680574E-3</v>
      </c>
    </row>
    <row r="483" spans="1:3" x14ac:dyDescent="0.3">
      <c r="A483" s="3" t="s">
        <v>704</v>
      </c>
      <c r="B483" s="6">
        <v>10.98</v>
      </c>
      <c r="C483" s="11">
        <f t="shared" si="8"/>
        <v>1.3689236868680574E-3</v>
      </c>
    </row>
    <row r="484" spans="1:3" x14ac:dyDescent="0.3">
      <c r="A484" s="3" t="s">
        <v>705</v>
      </c>
      <c r="B484" s="6">
        <v>10.98</v>
      </c>
      <c r="C484" s="11">
        <f t="shared" si="8"/>
        <v>1.3689236868680574E-3</v>
      </c>
    </row>
    <row r="485" spans="1:3" x14ac:dyDescent="0.3">
      <c r="A485" s="3" t="s">
        <v>706</v>
      </c>
      <c r="B485" s="6">
        <v>10.98</v>
      </c>
      <c r="C485" s="11">
        <f t="shared" si="8"/>
        <v>1.3689236868680574E-3</v>
      </c>
    </row>
    <row r="486" spans="1:3" x14ac:dyDescent="0.3">
      <c r="A486" s="3" t="s">
        <v>707</v>
      </c>
      <c r="B486" s="6">
        <v>10.98</v>
      </c>
      <c r="C486" s="11">
        <f t="shared" si="8"/>
        <v>1.3689236868680574E-3</v>
      </c>
    </row>
    <row r="487" spans="1:3" x14ac:dyDescent="0.3">
      <c r="A487" s="3" t="s">
        <v>708</v>
      </c>
      <c r="B487" s="6">
        <v>10.98</v>
      </c>
      <c r="C487" s="11">
        <f t="shared" si="8"/>
        <v>1.3689236868680574E-3</v>
      </c>
    </row>
    <row r="488" spans="1:3" x14ac:dyDescent="0.3">
      <c r="A488" s="3" t="s">
        <v>709</v>
      </c>
      <c r="B488" s="6">
        <v>10.98</v>
      </c>
      <c r="C488" s="11">
        <f t="shared" si="8"/>
        <v>1.3689236868680574E-3</v>
      </c>
    </row>
    <row r="489" spans="1:3" x14ac:dyDescent="0.3">
      <c r="A489" s="3" t="s">
        <v>710</v>
      </c>
      <c r="B489" s="6">
        <v>10.98</v>
      </c>
      <c r="C489" s="11">
        <f t="shared" si="8"/>
        <v>1.3689236868680574E-3</v>
      </c>
    </row>
    <row r="490" spans="1:3" x14ac:dyDescent="0.3">
      <c r="A490" s="3" t="s">
        <v>711</v>
      </c>
      <c r="B490" s="6">
        <v>10.98</v>
      </c>
      <c r="C490" s="11">
        <f t="shared" si="8"/>
        <v>1.3689236868680574E-3</v>
      </c>
    </row>
    <row r="491" spans="1:3" x14ac:dyDescent="0.3">
      <c r="A491" s="3" t="s">
        <v>712</v>
      </c>
      <c r="B491" s="6">
        <v>10.98</v>
      </c>
      <c r="C491" s="11">
        <f t="shared" si="8"/>
        <v>1.3689236868680574E-3</v>
      </c>
    </row>
    <row r="492" spans="1:3" x14ac:dyDescent="0.3">
      <c r="A492" s="3" t="s">
        <v>713</v>
      </c>
      <c r="B492" s="6">
        <v>10.98</v>
      </c>
      <c r="C492" s="11">
        <f t="shared" si="8"/>
        <v>1.3689236868680574E-3</v>
      </c>
    </row>
    <row r="493" spans="1:3" x14ac:dyDescent="0.3">
      <c r="A493" s="3" t="s">
        <v>714</v>
      </c>
      <c r="B493" s="6">
        <v>10.98</v>
      </c>
      <c r="C493" s="11">
        <f t="shared" si="8"/>
        <v>1.3689236868680574E-3</v>
      </c>
    </row>
    <row r="494" spans="1:3" x14ac:dyDescent="0.3">
      <c r="A494" s="3" t="s">
        <v>715</v>
      </c>
      <c r="B494" s="6">
        <v>10.98</v>
      </c>
      <c r="C494" s="11">
        <f t="shared" si="8"/>
        <v>1.3689236868680574E-3</v>
      </c>
    </row>
    <row r="495" spans="1:3" x14ac:dyDescent="0.3">
      <c r="A495" s="3" t="s">
        <v>716</v>
      </c>
      <c r="B495" s="6">
        <v>10.98</v>
      </c>
      <c r="C495" s="11">
        <f t="shared" si="8"/>
        <v>1.3689236868680574E-3</v>
      </c>
    </row>
    <row r="496" spans="1:3" x14ac:dyDescent="0.3">
      <c r="A496" s="3" t="s">
        <v>717</v>
      </c>
      <c r="B496" s="6">
        <v>10.98</v>
      </c>
      <c r="C496" s="11">
        <f t="shared" si="8"/>
        <v>1.3689236868680574E-3</v>
      </c>
    </row>
    <row r="497" spans="1:3" x14ac:dyDescent="0.3">
      <c r="A497" s="3" t="s">
        <v>718</v>
      </c>
      <c r="B497" s="6">
        <v>10.98</v>
      </c>
      <c r="C497" s="11">
        <f t="shared" si="8"/>
        <v>1.3689236868680574E-3</v>
      </c>
    </row>
    <row r="498" spans="1:3" x14ac:dyDescent="0.3">
      <c r="A498" s="3" t="s">
        <v>719</v>
      </c>
      <c r="B498" s="6">
        <v>10.98</v>
      </c>
      <c r="C498" s="11">
        <f t="shared" si="8"/>
        <v>1.3689236868680574E-3</v>
      </c>
    </row>
    <row r="499" spans="1:3" x14ac:dyDescent="0.3">
      <c r="A499" s="3" t="s">
        <v>720</v>
      </c>
      <c r="B499" s="6">
        <v>10.98</v>
      </c>
      <c r="C499" s="11">
        <f t="shared" si="8"/>
        <v>1.3689236868680574E-3</v>
      </c>
    </row>
    <row r="500" spans="1:3" x14ac:dyDescent="0.3">
      <c r="A500" s="3" t="s">
        <v>721</v>
      </c>
      <c r="B500" s="6">
        <v>10.98</v>
      </c>
      <c r="C500" s="11">
        <f t="shared" si="8"/>
        <v>1.3689236868680574E-3</v>
      </c>
    </row>
    <row r="501" spans="1:3" x14ac:dyDescent="0.3">
      <c r="A501" s="3" t="s">
        <v>722</v>
      </c>
      <c r="B501" s="6">
        <v>10.98</v>
      </c>
      <c r="C501" s="11">
        <f t="shared" si="8"/>
        <v>1.3689236868680574E-3</v>
      </c>
    </row>
    <row r="502" spans="1:3" x14ac:dyDescent="0.3">
      <c r="A502" s="3" t="s">
        <v>723</v>
      </c>
      <c r="B502" s="6">
        <v>10.98</v>
      </c>
      <c r="C502" s="11">
        <f t="shared" si="8"/>
        <v>1.3689236868680574E-3</v>
      </c>
    </row>
    <row r="503" spans="1:3" x14ac:dyDescent="0.3">
      <c r="A503" s="3" t="s">
        <v>724</v>
      </c>
      <c r="B503" s="6">
        <v>10.98</v>
      </c>
      <c r="C503" s="11">
        <f t="shared" si="8"/>
        <v>1.3689236868680574E-3</v>
      </c>
    </row>
    <row r="504" spans="1:3" x14ac:dyDescent="0.3">
      <c r="A504" s="3" t="s">
        <v>725</v>
      </c>
      <c r="B504" s="6">
        <v>10.98</v>
      </c>
      <c r="C504" s="11">
        <f t="shared" si="8"/>
        <v>1.3689236868680574E-3</v>
      </c>
    </row>
    <row r="505" spans="1:3" x14ac:dyDescent="0.3">
      <c r="A505" s="3" t="s">
        <v>726</v>
      </c>
      <c r="B505" s="6">
        <v>10.98</v>
      </c>
      <c r="C505" s="11">
        <f t="shared" si="8"/>
        <v>1.3689236868680574E-3</v>
      </c>
    </row>
    <row r="506" spans="1:3" x14ac:dyDescent="0.3">
      <c r="A506" s="3" t="s">
        <v>727</v>
      </c>
      <c r="B506" s="6">
        <v>10.98</v>
      </c>
      <c r="C506" s="11">
        <f t="shared" si="8"/>
        <v>1.3689236868680574E-3</v>
      </c>
    </row>
    <row r="507" spans="1:3" x14ac:dyDescent="0.3">
      <c r="A507" s="3" t="s">
        <v>728</v>
      </c>
      <c r="B507" s="6">
        <v>10.98</v>
      </c>
      <c r="C507" s="11">
        <f t="shared" si="8"/>
        <v>1.3689236868680574E-3</v>
      </c>
    </row>
    <row r="508" spans="1:3" x14ac:dyDescent="0.3">
      <c r="A508" s="3" t="s">
        <v>729</v>
      </c>
      <c r="B508" s="6">
        <v>10.98</v>
      </c>
      <c r="C508" s="11">
        <f t="shared" si="8"/>
        <v>1.3689236868680574E-3</v>
      </c>
    </row>
    <row r="509" spans="1:3" x14ac:dyDescent="0.3">
      <c r="A509" s="3" t="s">
        <v>730</v>
      </c>
      <c r="B509" s="6">
        <v>10.98</v>
      </c>
      <c r="C509" s="11">
        <f t="shared" si="8"/>
        <v>1.3689236868680574E-3</v>
      </c>
    </row>
    <row r="510" spans="1:3" x14ac:dyDescent="0.3">
      <c r="A510" s="3" t="s">
        <v>731</v>
      </c>
      <c r="B510" s="6">
        <v>10.98</v>
      </c>
      <c r="C510" s="11">
        <f t="shared" si="8"/>
        <v>1.3689236868680574E-3</v>
      </c>
    </row>
    <row r="511" spans="1:3" x14ac:dyDescent="0.3">
      <c r="A511" s="3" t="s">
        <v>732</v>
      </c>
      <c r="B511" s="6">
        <v>10.98</v>
      </c>
      <c r="C511" s="11">
        <f t="shared" si="8"/>
        <v>1.3689236868680574E-3</v>
      </c>
    </row>
    <row r="512" spans="1:3" x14ac:dyDescent="0.3">
      <c r="A512" s="3" t="s">
        <v>733</v>
      </c>
      <c r="B512" s="6">
        <v>10.98</v>
      </c>
      <c r="C512" s="11">
        <f t="shared" si="8"/>
        <v>1.3689236868680574E-3</v>
      </c>
    </row>
    <row r="513" spans="1:3" x14ac:dyDescent="0.3">
      <c r="A513" s="3" t="s">
        <v>734</v>
      </c>
      <c r="B513" s="6">
        <v>10.98</v>
      </c>
      <c r="C513" s="11">
        <f t="shared" si="8"/>
        <v>1.3689236868680574E-3</v>
      </c>
    </row>
    <row r="514" spans="1:3" x14ac:dyDescent="0.3">
      <c r="A514" s="3" t="s">
        <v>735</v>
      </c>
      <c r="B514" s="6">
        <v>10.98</v>
      </c>
      <c r="C514" s="11">
        <f t="shared" si="8"/>
        <v>1.3689236868680574E-3</v>
      </c>
    </row>
    <row r="515" spans="1:3" x14ac:dyDescent="0.3">
      <c r="A515" s="3" t="s">
        <v>736</v>
      </c>
      <c r="B515" s="6">
        <v>10.98</v>
      </c>
      <c r="C515" s="11">
        <f t="shared" ref="C515:C578" si="9">IFERROR(B515/$B$98,"")</f>
        <v>1.3689236868680574E-3</v>
      </c>
    </row>
    <row r="516" spans="1:3" x14ac:dyDescent="0.3">
      <c r="A516" s="3" t="s">
        <v>737</v>
      </c>
      <c r="B516" s="6">
        <v>10.98</v>
      </c>
      <c r="C516" s="11">
        <f t="shared" si="9"/>
        <v>1.3689236868680574E-3</v>
      </c>
    </row>
    <row r="517" spans="1:3" x14ac:dyDescent="0.3">
      <c r="A517" s="3" t="s">
        <v>738</v>
      </c>
      <c r="B517" s="6">
        <v>10.98</v>
      </c>
      <c r="C517" s="11">
        <f t="shared" si="9"/>
        <v>1.3689236868680574E-3</v>
      </c>
    </row>
    <row r="518" spans="1:3" x14ac:dyDescent="0.3">
      <c r="A518" s="3" t="s">
        <v>739</v>
      </c>
      <c r="B518" s="6">
        <v>10.98</v>
      </c>
      <c r="C518" s="11">
        <f t="shared" si="9"/>
        <v>1.3689236868680574E-3</v>
      </c>
    </row>
    <row r="519" spans="1:3" x14ac:dyDescent="0.3">
      <c r="A519" s="3" t="s">
        <v>740</v>
      </c>
      <c r="B519" s="6">
        <v>10.98</v>
      </c>
      <c r="C519" s="11">
        <f t="shared" si="9"/>
        <v>1.3689236868680574E-3</v>
      </c>
    </row>
    <row r="520" spans="1:3" x14ac:dyDescent="0.3">
      <c r="A520" s="3" t="s">
        <v>741</v>
      </c>
      <c r="B520" s="6">
        <v>10.98</v>
      </c>
      <c r="C520" s="11">
        <f t="shared" si="9"/>
        <v>1.3689236868680574E-3</v>
      </c>
    </row>
    <row r="521" spans="1:3" x14ac:dyDescent="0.3">
      <c r="A521" s="3" t="s">
        <v>742</v>
      </c>
      <c r="B521" s="6">
        <v>10.98</v>
      </c>
      <c r="C521" s="11">
        <f t="shared" si="9"/>
        <v>1.3689236868680574E-3</v>
      </c>
    </row>
    <row r="522" spans="1:3" x14ac:dyDescent="0.3">
      <c r="A522" s="3" t="s">
        <v>743</v>
      </c>
      <c r="B522" s="6">
        <v>10.98</v>
      </c>
      <c r="C522" s="11">
        <f t="shared" si="9"/>
        <v>1.3689236868680574E-3</v>
      </c>
    </row>
    <row r="523" spans="1:3" x14ac:dyDescent="0.3">
      <c r="A523" s="3" t="s">
        <v>744</v>
      </c>
      <c r="B523" s="6">
        <v>10.98</v>
      </c>
      <c r="C523" s="11">
        <f t="shared" si="9"/>
        <v>1.3689236868680574E-3</v>
      </c>
    </row>
    <row r="524" spans="1:3" x14ac:dyDescent="0.3">
      <c r="A524" s="3" t="s">
        <v>745</v>
      </c>
      <c r="B524" s="6">
        <v>10.98</v>
      </c>
      <c r="C524" s="11">
        <f t="shared" si="9"/>
        <v>1.3689236868680574E-3</v>
      </c>
    </row>
    <row r="525" spans="1:3" x14ac:dyDescent="0.3">
      <c r="A525" s="3" t="s">
        <v>746</v>
      </c>
      <c r="B525" s="6">
        <v>10.98</v>
      </c>
      <c r="C525" s="11">
        <f t="shared" si="9"/>
        <v>1.3689236868680574E-3</v>
      </c>
    </row>
    <row r="526" spans="1:3" x14ac:dyDescent="0.3">
      <c r="A526" s="3" t="s">
        <v>747</v>
      </c>
      <c r="B526" s="6">
        <v>10.98</v>
      </c>
      <c r="C526" s="11">
        <f t="shared" si="9"/>
        <v>1.3689236868680574E-3</v>
      </c>
    </row>
    <row r="527" spans="1:3" x14ac:dyDescent="0.3">
      <c r="A527" s="3" t="s">
        <v>748</v>
      </c>
      <c r="B527" s="6">
        <v>10.98</v>
      </c>
      <c r="C527" s="11">
        <f t="shared" si="9"/>
        <v>1.3689236868680574E-3</v>
      </c>
    </row>
    <row r="528" spans="1:3" x14ac:dyDescent="0.3">
      <c r="A528" s="3" t="s">
        <v>749</v>
      </c>
      <c r="B528" s="6">
        <v>10.98</v>
      </c>
      <c r="C528" s="11">
        <f t="shared" si="9"/>
        <v>1.3689236868680574E-3</v>
      </c>
    </row>
    <row r="529" spans="1:3" x14ac:dyDescent="0.3">
      <c r="A529" s="3" t="s">
        <v>750</v>
      </c>
      <c r="B529" s="6">
        <v>10.98</v>
      </c>
      <c r="C529" s="11">
        <f t="shared" si="9"/>
        <v>1.3689236868680574E-3</v>
      </c>
    </row>
    <row r="530" spans="1:3" x14ac:dyDescent="0.3">
      <c r="A530" s="3" t="s">
        <v>751</v>
      </c>
      <c r="B530" s="6">
        <v>10.98</v>
      </c>
      <c r="C530" s="11">
        <f t="shared" si="9"/>
        <v>1.3689236868680574E-3</v>
      </c>
    </row>
    <row r="531" spans="1:3" x14ac:dyDescent="0.3">
      <c r="A531" s="3" t="s">
        <v>752</v>
      </c>
      <c r="B531" s="6">
        <v>10.98</v>
      </c>
      <c r="C531" s="11">
        <f t="shared" si="9"/>
        <v>1.3689236868680574E-3</v>
      </c>
    </row>
    <row r="532" spans="1:3" x14ac:dyDescent="0.3">
      <c r="A532" s="3" t="s">
        <v>753</v>
      </c>
      <c r="B532" s="6">
        <v>10.98</v>
      </c>
      <c r="C532" s="11">
        <f t="shared" si="9"/>
        <v>1.3689236868680574E-3</v>
      </c>
    </row>
    <row r="533" spans="1:3" x14ac:dyDescent="0.3">
      <c r="A533" s="3" t="s">
        <v>754</v>
      </c>
      <c r="B533" s="6">
        <v>10.98</v>
      </c>
      <c r="C533" s="11">
        <f t="shared" si="9"/>
        <v>1.3689236868680574E-3</v>
      </c>
    </row>
    <row r="534" spans="1:3" x14ac:dyDescent="0.3">
      <c r="A534" s="3" t="s">
        <v>755</v>
      </c>
      <c r="B534" s="6">
        <v>10.98</v>
      </c>
      <c r="C534" s="11">
        <f t="shared" si="9"/>
        <v>1.3689236868680574E-3</v>
      </c>
    </row>
    <row r="535" spans="1:3" x14ac:dyDescent="0.3">
      <c r="A535" s="3" t="s">
        <v>756</v>
      </c>
      <c r="B535" s="6">
        <v>10.98</v>
      </c>
      <c r="C535" s="11">
        <f t="shared" si="9"/>
        <v>1.3689236868680574E-3</v>
      </c>
    </row>
    <row r="536" spans="1:3" x14ac:dyDescent="0.3">
      <c r="A536" s="3" t="s">
        <v>757</v>
      </c>
      <c r="B536" s="6">
        <v>10.98</v>
      </c>
      <c r="C536" s="11">
        <f t="shared" si="9"/>
        <v>1.3689236868680574E-3</v>
      </c>
    </row>
    <row r="537" spans="1:3" x14ac:dyDescent="0.3">
      <c r="A537" s="3" t="s">
        <v>758</v>
      </c>
      <c r="B537" s="6">
        <v>10.98</v>
      </c>
      <c r="C537" s="11">
        <f t="shared" si="9"/>
        <v>1.3689236868680574E-3</v>
      </c>
    </row>
    <row r="538" spans="1:3" x14ac:dyDescent="0.3">
      <c r="A538" s="3" t="s">
        <v>759</v>
      </c>
      <c r="B538" s="6">
        <v>10.98</v>
      </c>
      <c r="C538" s="11">
        <f t="shared" si="9"/>
        <v>1.3689236868680574E-3</v>
      </c>
    </row>
    <row r="539" spans="1:3" x14ac:dyDescent="0.3">
      <c r="A539" s="3" t="s">
        <v>760</v>
      </c>
      <c r="B539" s="6">
        <v>10.98</v>
      </c>
      <c r="C539" s="11">
        <f t="shared" si="9"/>
        <v>1.3689236868680574E-3</v>
      </c>
    </row>
    <row r="540" spans="1:3" x14ac:dyDescent="0.3">
      <c r="A540" s="3" t="s">
        <v>761</v>
      </c>
      <c r="B540" s="6">
        <v>10.98</v>
      </c>
      <c r="C540" s="11">
        <f t="shared" si="9"/>
        <v>1.3689236868680574E-3</v>
      </c>
    </row>
    <row r="541" spans="1:3" x14ac:dyDescent="0.3">
      <c r="A541" s="3" t="s">
        <v>762</v>
      </c>
      <c r="B541" s="6">
        <v>10.98</v>
      </c>
      <c r="C541" s="11">
        <f t="shared" si="9"/>
        <v>1.3689236868680574E-3</v>
      </c>
    </row>
    <row r="542" spans="1:3" x14ac:dyDescent="0.3">
      <c r="A542" s="3" t="s">
        <v>763</v>
      </c>
      <c r="B542" s="6">
        <v>10.98</v>
      </c>
      <c r="C542" s="11">
        <f t="shared" si="9"/>
        <v>1.3689236868680574E-3</v>
      </c>
    </row>
    <row r="543" spans="1:3" x14ac:dyDescent="0.3">
      <c r="A543" s="3" t="s">
        <v>764</v>
      </c>
      <c r="B543" s="6">
        <v>10.98</v>
      </c>
      <c r="C543" s="11">
        <f t="shared" si="9"/>
        <v>1.3689236868680574E-3</v>
      </c>
    </row>
    <row r="544" spans="1:3" x14ac:dyDescent="0.3">
      <c r="A544" s="3" t="s">
        <v>765</v>
      </c>
      <c r="B544" s="6">
        <v>10.98</v>
      </c>
      <c r="C544" s="11">
        <f t="shared" si="9"/>
        <v>1.3689236868680574E-3</v>
      </c>
    </row>
    <row r="545" spans="1:3" x14ac:dyDescent="0.3">
      <c r="A545" s="3" t="s">
        <v>766</v>
      </c>
      <c r="B545" s="6">
        <v>10.98</v>
      </c>
      <c r="C545" s="11">
        <f t="shared" si="9"/>
        <v>1.3689236868680574E-3</v>
      </c>
    </row>
    <row r="546" spans="1:3" x14ac:dyDescent="0.3">
      <c r="A546" s="3" t="s">
        <v>767</v>
      </c>
      <c r="B546" s="6">
        <v>10.98</v>
      </c>
      <c r="C546" s="11">
        <f t="shared" si="9"/>
        <v>1.3689236868680574E-3</v>
      </c>
    </row>
    <row r="547" spans="1:3" x14ac:dyDescent="0.3">
      <c r="A547" s="3" t="s">
        <v>768</v>
      </c>
      <c r="B547" s="6">
        <v>10.98</v>
      </c>
      <c r="C547" s="11">
        <f t="shared" si="9"/>
        <v>1.3689236868680574E-3</v>
      </c>
    </row>
    <row r="548" spans="1:3" x14ac:dyDescent="0.3">
      <c r="A548" s="3" t="s">
        <v>769</v>
      </c>
      <c r="B548" s="6">
        <v>10.98</v>
      </c>
      <c r="C548" s="11">
        <f t="shared" si="9"/>
        <v>1.3689236868680574E-3</v>
      </c>
    </row>
    <row r="549" spans="1:3" x14ac:dyDescent="0.3">
      <c r="A549" s="3" t="s">
        <v>770</v>
      </c>
      <c r="B549" s="6">
        <v>10.98</v>
      </c>
      <c r="C549" s="11">
        <f t="shared" si="9"/>
        <v>1.3689236868680574E-3</v>
      </c>
    </row>
    <row r="550" spans="1:3" x14ac:dyDescent="0.3">
      <c r="A550" s="3" t="s">
        <v>771</v>
      </c>
      <c r="B550" s="6">
        <v>10.98</v>
      </c>
      <c r="C550" s="11">
        <f t="shared" si="9"/>
        <v>1.3689236868680574E-3</v>
      </c>
    </row>
    <row r="551" spans="1:3" x14ac:dyDescent="0.3">
      <c r="A551" s="3" t="s">
        <v>772</v>
      </c>
      <c r="B551" s="6">
        <v>10.98</v>
      </c>
      <c r="C551" s="11">
        <f t="shared" si="9"/>
        <v>1.3689236868680574E-3</v>
      </c>
    </row>
    <row r="552" spans="1:3" x14ac:dyDescent="0.3">
      <c r="A552" s="3" t="s">
        <v>773</v>
      </c>
      <c r="B552" s="6">
        <v>10.98</v>
      </c>
      <c r="C552" s="11">
        <f t="shared" si="9"/>
        <v>1.3689236868680574E-3</v>
      </c>
    </row>
    <row r="553" spans="1:3" x14ac:dyDescent="0.3">
      <c r="A553" s="3" t="s">
        <v>774</v>
      </c>
      <c r="B553" s="6">
        <v>10.98</v>
      </c>
      <c r="C553" s="11">
        <f t="shared" si="9"/>
        <v>1.3689236868680574E-3</v>
      </c>
    </row>
    <row r="554" spans="1:3" x14ac:dyDescent="0.3">
      <c r="A554" s="3" t="s">
        <v>775</v>
      </c>
      <c r="B554" s="6">
        <v>10.98</v>
      </c>
      <c r="C554" s="11">
        <f t="shared" si="9"/>
        <v>1.3689236868680574E-3</v>
      </c>
    </row>
    <row r="555" spans="1:3" x14ac:dyDescent="0.3">
      <c r="A555" s="3" t="s">
        <v>776</v>
      </c>
      <c r="B555" s="6">
        <v>10.98</v>
      </c>
      <c r="C555" s="11">
        <f t="shared" si="9"/>
        <v>1.3689236868680574E-3</v>
      </c>
    </row>
    <row r="556" spans="1:3" x14ac:dyDescent="0.3">
      <c r="A556" s="3" t="s">
        <v>777</v>
      </c>
      <c r="B556" s="6">
        <v>10.98</v>
      </c>
      <c r="C556" s="11">
        <f t="shared" si="9"/>
        <v>1.3689236868680574E-3</v>
      </c>
    </row>
    <row r="557" spans="1:3" x14ac:dyDescent="0.3">
      <c r="A557" s="3" t="s">
        <v>778</v>
      </c>
      <c r="B557" s="6">
        <v>10.98</v>
      </c>
      <c r="C557" s="11">
        <f t="shared" si="9"/>
        <v>1.3689236868680574E-3</v>
      </c>
    </row>
    <row r="558" spans="1:3" x14ac:dyDescent="0.3">
      <c r="A558" s="3" t="s">
        <v>779</v>
      </c>
      <c r="B558" s="6">
        <v>10.98</v>
      </c>
      <c r="C558" s="11">
        <f t="shared" si="9"/>
        <v>1.3689236868680574E-3</v>
      </c>
    </row>
    <row r="559" spans="1:3" x14ac:dyDescent="0.3">
      <c r="A559" s="3" t="s">
        <v>780</v>
      </c>
      <c r="B559" s="6">
        <v>10.98</v>
      </c>
      <c r="C559" s="11">
        <f t="shared" si="9"/>
        <v>1.3689236868680574E-3</v>
      </c>
    </row>
    <row r="560" spans="1:3" x14ac:dyDescent="0.3">
      <c r="A560" s="3" t="s">
        <v>781</v>
      </c>
      <c r="B560" s="6">
        <v>10.98</v>
      </c>
      <c r="C560" s="11">
        <f t="shared" si="9"/>
        <v>1.3689236868680574E-3</v>
      </c>
    </row>
    <row r="561" spans="1:3" x14ac:dyDescent="0.3">
      <c r="A561" s="3" t="s">
        <v>782</v>
      </c>
      <c r="B561" s="6">
        <v>10.98</v>
      </c>
      <c r="C561" s="11">
        <f t="shared" si="9"/>
        <v>1.3689236868680574E-3</v>
      </c>
    </row>
    <row r="562" spans="1:3" x14ac:dyDescent="0.3">
      <c r="A562" s="3" t="s">
        <v>783</v>
      </c>
      <c r="B562" s="6">
        <v>10.98</v>
      </c>
      <c r="C562" s="11">
        <f t="shared" si="9"/>
        <v>1.3689236868680574E-3</v>
      </c>
    </row>
    <row r="563" spans="1:3" x14ac:dyDescent="0.3">
      <c r="A563" s="3" t="s">
        <v>784</v>
      </c>
      <c r="B563" s="6">
        <v>10.98</v>
      </c>
      <c r="C563" s="11">
        <f t="shared" si="9"/>
        <v>1.3689236868680574E-3</v>
      </c>
    </row>
    <row r="564" spans="1:3" x14ac:dyDescent="0.3">
      <c r="A564" s="3" t="s">
        <v>785</v>
      </c>
      <c r="B564" s="6">
        <v>10.98</v>
      </c>
      <c r="C564" s="11">
        <f t="shared" si="9"/>
        <v>1.3689236868680574E-3</v>
      </c>
    </row>
    <row r="565" spans="1:3" x14ac:dyDescent="0.3">
      <c r="A565" s="3" t="s">
        <v>786</v>
      </c>
      <c r="B565" s="6">
        <v>10.98</v>
      </c>
      <c r="C565" s="11">
        <f t="shared" si="9"/>
        <v>1.3689236868680574E-3</v>
      </c>
    </row>
    <row r="566" spans="1:3" x14ac:dyDescent="0.3">
      <c r="A566" s="3" t="s">
        <v>787</v>
      </c>
      <c r="B566" s="6">
        <v>10.98</v>
      </c>
      <c r="C566" s="11">
        <f t="shared" si="9"/>
        <v>1.3689236868680574E-3</v>
      </c>
    </row>
    <row r="567" spans="1:3" x14ac:dyDescent="0.3">
      <c r="A567" s="3" t="s">
        <v>788</v>
      </c>
      <c r="B567" s="6">
        <v>10.98</v>
      </c>
      <c r="C567" s="11">
        <f t="shared" si="9"/>
        <v>1.3689236868680574E-3</v>
      </c>
    </row>
    <row r="568" spans="1:3" x14ac:dyDescent="0.3">
      <c r="A568" s="3" t="s">
        <v>789</v>
      </c>
      <c r="B568" s="6">
        <v>10.98</v>
      </c>
      <c r="C568" s="11">
        <f t="shared" si="9"/>
        <v>1.3689236868680574E-3</v>
      </c>
    </row>
    <row r="569" spans="1:3" x14ac:dyDescent="0.3">
      <c r="A569" s="3" t="s">
        <v>790</v>
      </c>
      <c r="B569" s="6">
        <v>10.98</v>
      </c>
      <c r="C569" s="11">
        <f t="shared" si="9"/>
        <v>1.3689236868680574E-3</v>
      </c>
    </row>
    <row r="570" spans="1:3" x14ac:dyDescent="0.3">
      <c r="A570" s="3" t="s">
        <v>791</v>
      </c>
      <c r="B570" s="6">
        <v>10.98</v>
      </c>
      <c r="C570" s="11">
        <f t="shared" si="9"/>
        <v>1.3689236868680574E-3</v>
      </c>
    </row>
    <row r="571" spans="1:3" x14ac:dyDescent="0.3">
      <c r="A571" s="3" t="s">
        <v>792</v>
      </c>
      <c r="B571" s="6">
        <v>10.98</v>
      </c>
      <c r="C571" s="11">
        <f t="shared" si="9"/>
        <v>1.3689236868680574E-3</v>
      </c>
    </row>
    <row r="572" spans="1:3" x14ac:dyDescent="0.3">
      <c r="A572" s="3" t="s">
        <v>793</v>
      </c>
      <c r="B572" s="6">
        <v>10.98</v>
      </c>
      <c r="C572" s="11">
        <f t="shared" si="9"/>
        <v>1.3689236868680574E-3</v>
      </c>
    </row>
    <row r="573" spans="1:3" x14ac:dyDescent="0.3">
      <c r="A573" s="3" t="s">
        <v>794</v>
      </c>
      <c r="B573" s="6">
        <v>10.98</v>
      </c>
      <c r="C573" s="11">
        <f t="shared" si="9"/>
        <v>1.3689236868680574E-3</v>
      </c>
    </row>
    <row r="574" spans="1:3" x14ac:dyDescent="0.3">
      <c r="A574" s="3" t="s">
        <v>795</v>
      </c>
      <c r="B574" s="6">
        <v>10.98</v>
      </c>
      <c r="C574" s="11">
        <f t="shared" si="9"/>
        <v>1.3689236868680574E-3</v>
      </c>
    </row>
    <row r="575" spans="1:3" x14ac:dyDescent="0.3">
      <c r="A575" s="3" t="s">
        <v>796</v>
      </c>
      <c r="B575" s="6">
        <v>10.98</v>
      </c>
      <c r="C575" s="11">
        <f t="shared" si="9"/>
        <v>1.3689236868680574E-3</v>
      </c>
    </row>
    <row r="576" spans="1:3" x14ac:dyDescent="0.3">
      <c r="A576" s="3" t="s">
        <v>797</v>
      </c>
      <c r="B576" s="6">
        <v>10.98</v>
      </c>
      <c r="C576" s="11">
        <f t="shared" si="9"/>
        <v>1.3689236868680574E-3</v>
      </c>
    </row>
    <row r="577" spans="1:3" x14ac:dyDescent="0.3">
      <c r="A577" s="3" t="s">
        <v>798</v>
      </c>
      <c r="B577" s="6">
        <v>10.98</v>
      </c>
      <c r="C577" s="11">
        <f t="shared" si="9"/>
        <v>1.3689236868680574E-3</v>
      </c>
    </row>
    <row r="578" spans="1:3" x14ac:dyDescent="0.3">
      <c r="A578" s="3" t="s">
        <v>799</v>
      </c>
      <c r="B578" s="6">
        <v>10.98</v>
      </c>
      <c r="C578" s="11">
        <f t="shared" si="9"/>
        <v>1.3689236868680574E-3</v>
      </c>
    </row>
    <row r="579" spans="1:3" x14ac:dyDescent="0.3">
      <c r="A579" s="3" t="s">
        <v>800</v>
      </c>
      <c r="B579" s="6">
        <v>11.16</v>
      </c>
      <c r="C579" s="11">
        <f t="shared" ref="C579:C642" si="10">IFERROR(B579/$B$98,"")</f>
        <v>1.391365058783927E-3</v>
      </c>
    </row>
    <row r="580" spans="1:3" x14ac:dyDescent="0.3">
      <c r="A580" s="3" t="s">
        <v>801</v>
      </c>
      <c r="B580" s="6">
        <v>11.16</v>
      </c>
      <c r="C580" s="11">
        <f t="shared" si="10"/>
        <v>1.391365058783927E-3</v>
      </c>
    </row>
    <row r="581" spans="1:3" x14ac:dyDescent="0.3">
      <c r="A581" s="3" t="s">
        <v>802</v>
      </c>
      <c r="B581" s="6">
        <v>11.16</v>
      </c>
      <c r="C581" s="11">
        <f t="shared" si="10"/>
        <v>1.391365058783927E-3</v>
      </c>
    </row>
    <row r="582" spans="1:3" x14ac:dyDescent="0.3">
      <c r="A582" s="3" t="s">
        <v>803</v>
      </c>
      <c r="B582" s="6">
        <v>11.16</v>
      </c>
      <c r="C582" s="11">
        <f t="shared" si="10"/>
        <v>1.391365058783927E-3</v>
      </c>
    </row>
    <row r="583" spans="1:3" x14ac:dyDescent="0.3">
      <c r="A583" s="3" t="s">
        <v>804</v>
      </c>
      <c r="B583" s="6">
        <v>11.16</v>
      </c>
      <c r="C583" s="11">
        <f t="shared" si="10"/>
        <v>1.391365058783927E-3</v>
      </c>
    </row>
    <row r="584" spans="1:3" x14ac:dyDescent="0.3">
      <c r="A584" s="3" t="s">
        <v>805</v>
      </c>
      <c r="B584" s="6">
        <v>11.16</v>
      </c>
      <c r="C584" s="11">
        <f t="shared" si="10"/>
        <v>1.391365058783927E-3</v>
      </c>
    </row>
    <row r="585" spans="1:3" x14ac:dyDescent="0.3">
      <c r="A585" s="3" t="s">
        <v>806</v>
      </c>
      <c r="B585" s="6">
        <v>11.16</v>
      </c>
      <c r="C585" s="11">
        <f t="shared" si="10"/>
        <v>1.391365058783927E-3</v>
      </c>
    </row>
    <row r="586" spans="1:3" x14ac:dyDescent="0.3">
      <c r="A586" s="3" t="s">
        <v>807</v>
      </c>
      <c r="B586" s="6">
        <v>11.16</v>
      </c>
      <c r="C586" s="11">
        <f t="shared" si="10"/>
        <v>1.391365058783927E-3</v>
      </c>
    </row>
    <row r="587" spans="1:3" x14ac:dyDescent="0.3">
      <c r="A587" s="3" t="s">
        <v>808</v>
      </c>
      <c r="B587" s="6">
        <v>11.16</v>
      </c>
      <c r="C587" s="11">
        <f t="shared" si="10"/>
        <v>1.391365058783927E-3</v>
      </c>
    </row>
    <row r="588" spans="1:3" x14ac:dyDescent="0.3">
      <c r="A588" s="3" t="s">
        <v>809</v>
      </c>
      <c r="B588" s="6">
        <v>11.16</v>
      </c>
      <c r="C588" s="11">
        <f t="shared" si="10"/>
        <v>1.391365058783927E-3</v>
      </c>
    </row>
    <row r="589" spans="1:3" x14ac:dyDescent="0.3">
      <c r="A589" s="3" t="s">
        <v>810</v>
      </c>
      <c r="B589" s="6">
        <v>11.16</v>
      </c>
      <c r="C589" s="11">
        <f t="shared" si="10"/>
        <v>1.391365058783927E-3</v>
      </c>
    </row>
    <row r="590" spans="1:3" x14ac:dyDescent="0.3">
      <c r="A590" s="3" t="s">
        <v>811</v>
      </c>
      <c r="B590" s="6">
        <v>11.16</v>
      </c>
      <c r="C590" s="11">
        <f t="shared" si="10"/>
        <v>1.391365058783927E-3</v>
      </c>
    </row>
    <row r="591" spans="1:3" x14ac:dyDescent="0.3">
      <c r="A591" s="3" t="s">
        <v>812</v>
      </c>
      <c r="B591" s="6">
        <v>11.16</v>
      </c>
      <c r="C591" s="11">
        <f t="shared" si="10"/>
        <v>1.391365058783927E-3</v>
      </c>
    </row>
    <row r="592" spans="1:3" x14ac:dyDescent="0.3">
      <c r="A592" s="3" t="s">
        <v>813</v>
      </c>
      <c r="B592" s="6">
        <v>11.16</v>
      </c>
      <c r="C592" s="11">
        <f t="shared" si="10"/>
        <v>1.391365058783927E-3</v>
      </c>
    </row>
    <row r="593" spans="1:3" x14ac:dyDescent="0.3">
      <c r="A593" s="3" t="s">
        <v>814</v>
      </c>
      <c r="B593" s="6">
        <v>11.16</v>
      </c>
      <c r="C593" s="11">
        <f t="shared" si="10"/>
        <v>1.391365058783927E-3</v>
      </c>
    </row>
    <row r="594" spans="1:3" x14ac:dyDescent="0.3">
      <c r="A594" s="3" t="s">
        <v>815</v>
      </c>
      <c r="B594" s="6">
        <v>11.16</v>
      </c>
      <c r="C594" s="11">
        <f t="shared" si="10"/>
        <v>1.391365058783927E-3</v>
      </c>
    </row>
    <row r="595" spans="1:3" x14ac:dyDescent="0.3">
      <c r="A595" s="3" t="s">
        <v>816</v>
      </c>
      <c r="B595" s="6">
        <v>11.16</v>
      </c>
      <c r="C595" s="11">
        <f t="shared" si="10"/>
        <v>1.391365058783927E-3</v>
      </c>
    </row>
    <row r="596" spans="1:3" x14ac:dyDescent="0.3">
      <c r="A596" s="3" t="s">
        <v>817</v>
      </c>
      <c r="B596" s="6">
        <v>11.16</v>
      </c>
      <c r="C596" s="11">
        <f t="shared" si="10"/>
        <v>1.391365058783927E-3</v>
      </c>
    </row>
    <row r="597" spans="1:3" x14ac:dyDescent="0.3">
      <c r="A597" s="3" t="s">
        <v>818</v>
      </c>
      <c r="B597" s="6">
        <v>11.16</v>
      </c>
      <c r="C597" s="11">
        <f t="shared" si="10"/>
        <v>1.391365058783927E-3</v>
      </c>
    </row>
    <row r="598" spans="1:3" x14ac:dyDescent="0.3">
      <c r="A598" s="3" t="s">
        <v>819</v>
      </c>
      <c r="B598" s="6">
        <v>11.16</v>
      </c>
      <c r="C598" s="11">
        <f t="shared" si="10"/>
        <v>1.391365058783927E-3</v>
      </c>
    </row>
    <row r="599" spans="1:3" x14ac:dyDescent="0.3">
      <c r="A599" s="3" t="s">
        <v>820</v>
      </c>
      <c r="B599" s="6">
        <v>11.16</v>
      </c>
      <c r="C599" s="11">
        <f t="shared" si="10"/>
        <v>1.391365058783927E-3</v>
      </c>
    </row>
    <row r="600" spans="1:3" x14ac:dyDescent="0.3">
      <c r="A600" s="3" t="s">
        <v>821</v>
      </c>
      <c r="B600" s="6">
        <v>11.16</v>
      </c>
      <c r="C600" s="11">
        <f t="shared" si="10"/>
        <v>1.391365058783927E-3</v>
      </c>
    </row>
    <row r="601" spans="1:3" x14ac:dyDescent="0.3">
      <c r="A601" s="3" t="s">
        <v>822</v>
      </c>
      <c r="B601" s="6">
        <v>11.16</v>
      </c>
      <c r="C601" s="11">
        <f t="shared" si="10"/>
        <v>1.391365058783927E-3</v>
      </c>
    </row>
    <row r="602" spans="1:3" x14ac:dyDescent="0.3">
      <c r="A602" s="3" t="s">
        <v>823</v>
      </c>
      <c r="B602" s="6">
        <v>11.16</v>
      </c>
      <c r="C602" s="11">
        <f t="shared" si="10"/>
        <v>1.391365058783927E-3</v>
      </c>
    </row>
    <row r="603" spans="1:3" x14ac:dyDescent="0.3">
      <c r="A603" s="3" t="s">
        <v>824</v>
      </c>
      <c r="B603" s="6">
        <v>11.16</v>
      </c>
      <c r="C603" s="11">
        <f t="shared" si="10"/>
        <v>1.391365058783927E-3</v>
      </c>
    </row>
    <row r="604" spans="1:3" x14ac:dyDescent="0.3">
      <c r="A604" s="3" t="s">
        <v>825</v>
      </c>
      <c r="B604" s="6">
        <v>11.16</v>
      </c>
      <c r="C604" s="11">
        <f t="shared" si="10"/>
        <v>1.391365058783927E-3</v>
      </c>
    </row>
    <row r="605" spans="1:3" x14ac:dyDescent="0.3">
      <c r="A605" s="3" t="s">
        <v>826</v>
      </c>
      <c r="B605" s="6">
        <v>11.16</v>
      </c>
      <c r="C605" s="11">
        <f t="shared" si="10"/>
        <v>1.391365058783927E-3</v>
      </c>
    </row>
    <row r="606" spans="1:3" x14ac:dyDescent="0.3">
      <c r="A606" s="3" t="s">
        <v>827</v>
      </c>
      <c r="B606" s="6">
        <v>11.16</v>
      </c>
      <c r="C606" s="11">
        <f t="shared" si="10"/>
        <v>1.391365058783927E-3</v>
      </c>
    </row>
    <row r="607" spans="1:3" x14ac:dyDescent="0.3">
      <c r="A607" s="3" t="s">
        <v>828</v>
      </c>
      <c r="B607" s="6">
        <v>11.16</v>
      </c>
      <c r="C607" s="11">
        <f t="shared" si="10"/>
        <v>1.391365058783927E-3</v>
      </c>
    </row>
    <row r="608" spans="1:3" x14ac:dyDescent="0.3">
      <c r="A608" s="3" t="s">
        <v>829</v>
      </c>
      <c r="B608" s="6">
        <v>11.16</v>
      </c>
      <c r="C608" s="11">
        <f t="shared" si="10"/>
        <v>1.391365058783927E-3</v>
      </c>
    </row>
    <row r="609" spans="1:3" x14ac:dyDescent="0.3">
      <c r="A609" s="3" t="s">
        <v>830</v>
      </c>
      <c r="B609" s="6">
        <v>11.231999999999999</v>
      </c>
      <c r="C609" s="11">
        <f t="shared" si="10"/>
        <v>1.4003416075502749E-3</v>
      </c>
    </row>
    <row r="610" spans="1:3" x14ac:dyDescent="0.3">
      <c r="A610" s="3" t="s">
        <v>831</v>
      </c>
      <c r="B610" s="6">
        <v>11.231999999999999</v>
      </c>
      <c r="C610" s="11">
        <f t="shared" si="10"/>
        <v>1.4003416075502749E-3</v>
      </c>
    </row>
    <row r="611" spans="1:3" x14ac:dyDescent="0.3">
      <c r="A611" s="3" t="s">
        <v>832</v>
      </c>
      <c r="B611" s="6">
        <v>11.231999999999999</v>
      </c>
      <c r="C611" s="11">
        <f t="shared" si="10"/>
        <v>1.4003416075502749E-3</v>
      </c>
    </row>
    <row r="612" spans="1:3" x14ac:dyDescent="0.3">
      <c r="A612" s="3" t="s">
        <v>833</v>
      </c>
      <c r="B612" s="6">
        <v>11.231999999999999</v>
      </c>
      <c r="C612" s="11">
        <f t="shared" si="10"/>
        <v>1.4003416075502749E-3</v>
      </c>
    </row>
    <row r="613" spans="1:3" x14ac:dyDescent="0.3">
      <c r="A613" s="3" t="s">
        <v>834</v>
      </c>
      <c r="B613" s="6">
        <v>11.231999999999999</v>
      </c>
      <c r="C613" s="11">
        <f t="shared" si="10"/>
        <v>1.4003416075502749E-3</v>
      </c>
    </row>
    <row r="614" spans="1:3" x14ac:dyDescent="0.3">
      <c r="A614" s="3" t="s">
        <v>835</v>
      </c>
      <c r="B614" s="6">
        <v>11.231999999999999</v>
      </c>
      <c r="C614" s="11">
        <f t="shared" si="10"/>
        <v>1.4003416075502749E-3</v>
      </c>
    </row>
    <row r="615" spans="1:3" x14ac:dyDescent="0.3">
      <c r="A615" s="3" t="s">
        <v>836</v>
      </c>
      <c r="B615" s="6">
        <v>11.231999999999999</v>
      </c>
      <c r="C615" s="11">
        <f t="shared" si="10"/>
        <v>1.4003416075502749E-3</v>
      </c>
    </row>
    <row r="616" spans="1:3" x14ac:dyDescent="0.3">
      <c r="A616" s="3" t="s">
        <v>837</v>
      </c>
      <c r="B616" s="6">
        <v>11.231999999999999</v>
      </c>
      <c r="C616" s="11">
        <f t="shared" si="10"/>
        <v>1.4003416075502749E-3</v>
      </c>
    </row>
    <row r="617" spans="1:3" x14ac:dyDescent="0.3">
      <c r="A617" s="3" t="s">
        <v>838</v>
      </c>
      <c r="B617" s="6">
        <v>11.231999999999999</v>
      </c>
      <c r="C617" s="11">
        <f t="shared" si="10"/>
        <v>1.4003416075502749E-3</v>
      </c>
    </row>
    <row r="618" spans="1:3" x14ac:dyDescent="0.3">
      <c r="A618" s="3" t="s">
        <v>839</v>
      </c>
      <c r="B618" s="6">
        <v>11.231999999999999</v>
      </c>
      <c r="C618" s="11">
        <f t="shared" si="10"/>
        <v>1.4003416075502749E-3</v>
      </c>
    </row>
    <row r="619" spans="1:3" x14ac:dyDescent="0.3">
      <c r="A619" s="3" t="s">
        <v>840</v>
      </c>
      <c r="B619" s="6">
        <v>11.231999999999999</v>
      </c>
      <c r="C619" s="11">
        <f t="shared" si="10"/>
        <v>1.4003416075502749E-3</v>
      </c>
    </row>
    <row r="620" spans="1:3" x14ac:dyDescent="0.3">
      <c r="A620" s="3" t="s">
        <v>841</v>
      </c>
      <c r="B620" s="6">
        <v>11.231999999999999</v>
      </c>
      <c r="C620" s="11">
        <f t="shared" si="10"/>
        <v>1.4003416075502749E-3</v>
      </c>
    </row>
    <row r="621" spans="1:3" x14ac:dyDescent="0.3">
      <c r="A621" s="3" t="s">
        <v>842</v>
      </c>
      <c r="B621" s="6">
        <v>11.231999999999999</v>
      </c>
      <c r="C621" s="11">
        <f t="shared" si="10"/>
        <v>1.4003416075502749E-3</v>
      </c>
    </row>
    <row r="622" spans="1:3" x14ac:dyDescent="0.3">
      <c r="A622" s="3" t="s">
        <v>843</v>
      </c>
      <c r="B622" s="6">
        <v>11.231999999999999</v>
      </c>
      <c r="C622" s="11">
        <f t="shared" si="10"/>
        <v>1.4003416075502749E-3</v>
      </c>
    </row>
    <row r="623" spans="1:3" x14ac:dyDescent="0.3">
      <c r="A623" s="3" t="s">
        <v>844</v>
      </c>
      <c r="B623" s="6">
        <v>11.231999999999999</v>
      </c>
      <c r="C623" s="11">
        <f t="shared" si="10"/>
        <v>1.4003416075502749E-3</v>
      </c>
    </row>
    <row r="624" spans="1:3" x14ac:dyDescent="0.3">
      <c r="A624" s="3" t="s">
        <v>845</v>
      </c>
      <c r="B624" s="6">
        <v>11.231999999999999</v>
      </c>
      <c r="C624" s="11">
        <f t="shared" si="10"/>
        <v>1.4003416075502749E-3</v>
      </c>
    </row>
    <row r="625" spans="1:3" x14ac:dyDescent="0.3">
      <c r="A625" s="3" t="s">
        <v>846</v>
      </c>
      <c r="B625" s="6">
        <v>11.231999999999999</v>
      </c>
      <c r="C625" s="11">
        <f t="shared" si="10"/>
        <v>1.4003416075502749E-3</v>
      </c>
    </row>
    <row r="626" spans="1:3" x14ac:dyDescent="0.3">
      <c r="A626" s="3" t="s">
        <v>847</v>
      </c>
      <c r="B626" s="6">
        <v>11.231999999999999</v>
      </c>
      <c r="C626" s="11">
        <f t="shared" si="10"/>
        <v>1.4003416075502749E-3</v>
      </c>
    </row>
    <row r="627" spans="1:3" x14ac:dyDescent="0.3">
      <c r="A627" s="3" t="s">
        <v>848</v>
      </c>
      <c r="B627" s="6">
        <v>11.231999999999999</v>
      </c>
      <c r="C627" s="11">
        <f t="shared" si="10"/>
        <v>1.4003416075502749E-3</v>
      </c>
    </row>
    <row r="628" spans="1:3" x14ac:dyDescent="0.3">
      <c r="A628" s="3" t="s">
        <v>849</v>
      </c>
      <c r="B628" s="6">
        <v>11.231999999999999</v>
      </c>
      <c r="C628" s="11">
        <f t="shared" si="10"/>
        <v>1.4003416075502749E-3</v>
      </c>
    </row>
    <row r="629" spans="1:3" x14ac:dyDescent="0.3">
      <c r="A629" s="3" t="s">
        <v>850</v>
      </c>
      <c r="B629" s="6">
        <v>11.231999999999999</v>
      </c>
      <c r="C629" s="11">
        <f t="shared" si="10"/>
        <v>1.4003416075502749E-3</v>
      </c>
    </row>
    <row r="630" spans="1:3" x14ac:dyDescent="0.3">
      <c r="A630" s="3" t="s">
        <v>851</v>
      </c>
      <c r="B630" s="6">
        <v>11.231999999999999</v>
      </c>
      <c r="C630" s="11">
        <f t="shared" si="10"/>
        <v>1.4003416075502749E-3</v>
      </c>
    </row>
    <row r="631" spans="1:3" x14ac:dyDescent="0.3">
      <c r="A631" s="3" t="s">
        <v>852</v>
      </c>
      <c r="B631" s="6">
        <v>11.231999999999999</v>
      </c>
      <c r="C631" s="11">
        <f t="shared" si="10"/>
        <v>1.4003416075502749E-3</v>
      </c>
    </row>
    <row r="632" spans="1:3" x14ac:dyDescent="0.3">
      <c r="A632" s="3" t="s">
        <v>853</v>
      </c>
      <c r="B632" s="6">
        <v>11.231999999999999</v>
      </c>
      <c r="C632" s="11">
        <f t="shared" si="10"/>
        <v>1.4003416075502749E-3</v>
      </c>
    </row>
    <row r="633" spans="1:3" x14ac:dyDescent="0.3">
      <c r="A633" s="3" t="s">
        <v>854</v>
      </c>
      <c r="B633" s="6">
        <v>11.231999999999999</v>
      </c>
      <c r="C633" s="11">
        <f t="shared" si="10"/>
        <v>1.4003416075502749E-3</v>
      </c>
    </row>
    <row r="634" spans="1:3" x14ac:dyDescent="0.3">
      <c r="A634" s="3" t="s">
        <v>855</v>
      </c>
      <c r="B634" s="6">
        <v>11.231999999999999</v>
      </c>
      <c r="C634" s="11">
        <f t="shared" si="10"/>
        <v>1.4003416075502749E-3</v>
      </c>
    </row>
    <row r="635" spans="1:3" x14ac:dyDescent="0.3">
      <c r="A635" s="3" t="s">
        <v>856</v>
      </c>
      <c r="B635" s="6">
        <v>11.231999999999999</v>
      </c>
      <c r="C635" s="11">
        <f t="shared" si="10"/>
        <v>1.4003416075502749E-3</v>
      </c>
    </row>
    <row r="636" spans="1:3" x14ac:dyDescent="0.3">
      <c r="A636" s="3" t="s">
        <v>857</v>
      </c>
      <c r="B636" s="6">
        <v>11.231999999999999</v>
      </c>
      <c r="C636" s="11">
        <f t="shared" si="10"/>
        <v>1.4003416075502749E-3</v>
      </c>
    </row>
    <row r="637" spans="1:3" x14ac:dyDescent="0.3">
      <c r="A637" s="3" t="s">
        <v>858</v>
      </c>
      <c r="B637" s="6">
        <v>11.231999999999999</v>
      </c>
      <c r="C637" s="11">
        <f t="shared" si="10"/>
        <v>1.4003416075502749E-3</v>
      </c>
    </row>
    <row r="638" spans="1:3" x14ac:dyDescent="0.3">
      <c r="A638" s="3" t="s">
        <v>859</v>
      </c>
      <c r="B638" s="6">
        <v>11.231999999999999</v>
      </c>
      <c r="C638" s="11">
        <f t="shared" si="10"/>
        <v>1.4003416075502749E-3</v>
      </c>
    </row>
    <row r="639" spans="1:3" x14ac:dyDescent="0.3">
      <c r="A639" s="3" t="s">
        <v>860</v>
      </c>
      <c r="B639" s="6">
        <v>11.231999999999999</v>
      </c>
      <c r="C639" s="11">
        <f t="shared" si="10"/>
        <v>1.4003416075502749E-3</v>
      </c>
    </row>
    <row r="640" spans="1:3" x14ac:dyDescent="0.3">
      <c r="A640" s="3" t="s">
        <v>861</v>
      </c>
      <c r="B640" s="6">
        <v>11.231999999999999</v>
      </c>
      <c r="C640" s="11">
        <f t="shared" si="10"/>
        <v>1.4003416075502749E-3</v>
      </c>
    </row>
    <row r="641" spans="1:3" x14ac:dyDescent="0.3">
      <c r="A641" s="3" t="s">
        <v>862</v>
      </c>
      <c r="B641" s="6">
        <v>11.231999999999999</v>
      </c>
      <c r="C641" s="11">
        <f t="shared" si="10"/>
        <v>1.4003416075502749E-3</v>
      </c>
    </row>
    <row r="642" spans="1:3" x14ac:dyDescent="0.3">
      <c r="A642" s="3" t="s">
        <v>863</v>
      </c>
      <c r="B642" s="6">
        <v>11.231999999999999</v>
      </c>
      <c r="C642" s="11">
        <f t="shared" si="10"/>
        <v>1.4003416075502749E-3</v>
      </c>
    </row>
    <row r="643" spans="1:3" x14ac:dyDescent="0.3">
      <c r="A643" s="3" t="s">
        <v>864</v>
      </c>
      <c r="B643" s="6">
        <v>11.231999999999999</v>
      </c>
      <c r="C643" s="11">
        <f t="shared" ref="C643:C706" si="11">IFERROR(B643/$B$98,"")</f>
        <v>1.4003416075502749E-3</v>
      </c>
    </row>
    <row r="644" spans="1:3" x14ac:dyDescent="0.3">
      <c r="A644" s="3" t="s">
        <v>865</v>
      </c>
      <c r="B644" s="6">
        <v>11.231999999999999</v>
      </c>
      <c r="C644" s="11">
        <f t="shared" si="11"/>
        <v>1.4003416075502749E-3</v>
      </c>
    </row>
    <row r="645" spans="1:3" x14ac:dyDescent="0.3">
      <c r="A645" s="3" t="s">
        <v>866</v>
      </c>
      <c r="B645" s="6">
        <v>11.231999999999999</v>
      </c>
      <c r="C645" s="11">
        <f t="shared" si="11"/>
        <v>1.4003416075502749E-3</v>
      </c>
    </row>
    <row r="646" spans="1:3" x14ac:dyDescent="0.3">
      <c r="A646" s="3" t="s">
        <v>867</v>
      </c>
      <c r="B646" s="6">
        <v>11.231999999999999</v>
      </c>
      <c r="C646" s="11">
        <f t="shared" si="11"/>
        <v>1.4003416075502749E-3</v>
      </c>
    </row>
    <row r="647" spans="1:3" x14ac:dyDescent="0.3">
      <c r="A647" s="3" t="s">
        <v>868</v>
      </c>
      <c r="B647" s="6">
        <v>11.231999999999999</v>
      </c>
      <c r="C647" s="11">
        <f t="shared" si="11"/>
        <v>1.4003416075502749E-3</v>
      </c>
    </row>
    <row r="648" spans="1:3" x14ac:dyDescent="0.3">
      <c r="A648" s="3" t="s">
        <v>869</v>
      </c>
      <c r="B648" s="6">
        <v>11.231999999999999</v>
      </c>
      <c r="C648" s="11">
        <f t="shared" si="11"/>
        <v>1.4003416075502749E-3</v>
      </c>
    </row>
    <row r="649" spans="1:3" x14ac:dyDescent="0.3">
      <c r="A649" s="3" t="s">
        <v>870</v>
      </c>
      <c r="B649" s="6">
        <v>10.98</v>
      </c>
      <c r="C649" s="11">
        <f t="shared" si="11"/>
        <v>1.3689236868680574E-3</v>
      </c>
    </row>
    <row r="650" spans="1:3" x14ac:dyDescent="0.3">
      <c r="A650" s="3" t="s">
        <v>871</v>
      </c>
      <c r="B650" s="6">
        <v>10.98</v>
      </c>
      <c r="C650" s="11">
        <f t="shared" si="11"/>
        <v>1.3689236868680574E-3</v>
      </c>
    </row>
    <row r="651" spans="1:3" x14ac:dyDescent="0.3">
      <c r="A651" s="3" t="s">
        <v>872</v>
      </c>
      <c r="B651" s="6">
        <v>10.98</v>
      </c>
      <c r="C651" s="11">
        <f t="shared" si="11"/>
        <v>1.3689236868680574E-3</v>
      </c>
    </row>
    <row r="652" spans="1:3" x14ac:dyDescent="0.3">
      <c r="A652" s="3" t="s">
        <v>873</v>
      </c>
      <c r="B652" s="6">
        <v>10.98</v>
      </c>
      <c r="C652" s="11">
        <f t="shared" si="11"/>
        <v>1.3689236868680574E-3</v>
      </c>
    </row>
    <row r="653" spans="1:3" x14ac:dyDescent="0.3">
      <c r="A653" s="3" t="s">
        <v>874</v>
      </c>
      <c r="B653" s="6">
        <v>10.98</v>
      </c>
      <c r="C653" s="11">
        <f t="shared" si="11"/>
        <v>1.3689236868680574E-3</v>
      </c>
    </row>
    <row r="654" spans="1:3" x14ac:dyDescent="0.3">
      <c r="A654" s="3" t="s">
        <v>875</v>
      </c>
      <c r="B654" s="6">
        <v>10.98</v>
      </c>
      <c r="C654" s="11">
        <f t="shared" si="11"/>
        <v>1.3689236868680574E-3</v>
      </c>
    </row>
    <row r="655" spans="1:3" x14ac:dyDescent="0.3">
      <c r="A655" s="3" t="s">
        <v>876</v>
      </c>
      <c r="B655" s="6">
        <v>10.98</v>
      </c>
      <c r="C655" s="11">
        <f t="shared" si="11"/>
        <v>1.3689236868680574E-3</v>
      </c>
    </row>
    <row r="656" spans="1:3" x14ac:dyDescent="0.3">
      <c r="A656" s="3" t="s">
        <v>877</v>
      </c>
      <c r="B656" s="6">
        <v>10.98</v>
      </c>
      <c r="C656" s="11">
        <f t="shared" si="11"/>
        <v>1.3689236868680574E-3</v>
      </c>
    </row>
    <row r="657" spans="1:3" x14ac:dyDescent="0.3">
      <c r="A657" s="3" t="s">
        <v>878</v>
      </c>
      <c r="B657" s="6">
        <v>10.98</v>
      </c>
      <c r="C657" s="11">
        <f t="shared" si="11"/>
        <v>1.3689236868680574E-3</v>
      </c>
    </row>
    <row r="658" spans="1:3" x14ac:dyDescent="0.3">
      <c r="A658" s="3" t="s">
        <v>879</v>
      </c>
      <c r="B658" s="6">
        <v>10.98</v>
      </c>
      <c r="C658" s="11">
        <f t="shared" si="11"/>
        <v>1.3689236868680574E-3</v>
      </c>
    </row>
    <row r="659" spans="1:3" x14ac:dyDescent="0.3">
      <c r="A659" s="3" t="s">
        <v>880</v>
      </c>
      <c r="B659" s="6">
        <v>10.98</v>
      </c>
      <c r="C659" s="11">
        <f t="shared" si="11"/>
        <v>1.3689236868680574E-3</v>
      </c>
    </row>
    <row r="660" spans="1:3" x14ac:dyDescent="0.3">
      <c r="A660" s="3" t="s">
        <v>881</v>
      </c>
      <c r="B660" s="6">
        <v>10.98</v>
      </c>
      <c r="C660" s="11">
        <f t="shared" si="11"/>
        <v>1.3689236868680574E-3</v>
      </c>
    </row>
    <row r="661" spans="1:3" x14ac:dyDescent="0.3">
      <c r="A661" s="3" t="s">
        <v>882</v>
      </c>
      <c r="B661" s="6">
        <v>10.98</v>
      </c>
      <c r="C661" s="11">
        <f t="shared" si="11"/>
        <v>1.3689236868680574E-3</v>
      </c>
    </row>
    <row r="662" spans="1:3" x14ac:dyDescent="0.3">
      <c r="A662" s="3" t="s">
        <v>883</v>
      </c>
      <c r="B662" s="6">
        <v>10.98</v>
      </c>
      <c r="C662" s="11">
        <f t="shared" si="11"/>
        <v>1.3689236868680574E-3</v>
      </c>
    </row>
    <row r="663" spans="1:3" x14ac:dyDescent="0.3">
      <c r="A663" s="3" t="s">
        <v>884</v>
      </c>
      <c r="B663" s="6">
        <v>10.98</v>
      </c>
      <c r="C663" s="11">
        <f t="shared" si="11"/>
        <v>1.3689236868680574E-3</v>
      </c>
    </row>
    <row r="664" spans="1:3" x14ac:dyDescent="0.3">
      <c r="A664" s="3" t="s">
        <v>885</v>
      </c>
      <c r="B664" s="6">
        <v>10.98</v>
      </c>
      <c r="C664" s="11">
        <f t="shared" si="11"/>
        <v>1.3689236868680574E-3</v>
      </c>
    </row>
    <row r="665" spans="1:3" x14ac:dyDescent="0.3">
      <c r="A665" s="3" t="s">
        <v>886</v>
      </c>
      <c r="B665" s="6">
        <v>10.98</v>
      </c>
      <c r="C665" s="11">
        <f t="shared" si="11"/>
        <v>1.3689236868680574E-3</v>
      </c>
    </row>
    <row r="666" spans="1:3" x14ac:dyDescent="0.3">
      <c r="A666" s="3" t="s">
        <v>887</v>
      </c>
      <c r="B666" s="6">
        <v>10.98</v>
      </c>
      <c r="C666" s="11">
        <f t="shared" si="11"/>
        <v>1.3689236868680574E-3</v>
      </c>
    </row>
    <row r="667" spans="1:3" x14ac:dyDescent="0.3">
      <c r="A667" s="3" t="s">
        <v>888</v>
      </c>
      <c r="B667" s="6">
        <v>10.98</v>
      </c>
      <c r="C667" s="11">
        <f t="shared" si="11"/>
        <v>1.3689236868680574E-3</v>
      </c>
    </row>
    <row r="668" spans="1:3" x14ac:dyDescent="0.3">
      <c r="A668" s="3" t="s">
        <v>889</v>
      </c>
      <c r="B668" s="6">
        <v>10.98</v>
      </c>
      <c r="C668" s="11">
        <f t="shared" si="11"/>
        <v>1.3689236868680574E-3</v>
      </c>
    </row>
    <row r="669" spans="1:3" x14ac:dyDescent="0.3">
      <c r="A669" s="3" t="s">
        <v>890</v>
      </c>
      <c r="B669" s="6">
        <v>10.98</v>
      </c>
      <c r="C669" s="11">
        <f t="shared" si="11"/>
        <v>1.3689236868680574E-3</v>
      </c>
    </row>
    <row r="670" spans="1:3" x14ac:dyDescent="0.3">
      <c r="A670" s="3" t="s">
        <v>891</v>
      </c>
      <c r="B670" s="6">
        <v>10.98</v>
      </c>
      <c r="C670" s="11">
        <f t="shared" si="11"/>
        <v>1.3689236868680574E-3</v>
      </c>
    </row>
    <row r="671" spans="1:3" x14ac:dyDescent="0.3">
      <c r="A671" s="3" t="s">
        <v>892</v>
      </c>
      <c r="B671" s="6">
        <v>10.98</v>
      </c>
      <c r="C671" s="11">
        <f t="shared" si="11"/>
        <v>1.3689236868680574E-3</v>
      </c>
    </row>
    <row r="672" spans="1:3" x14ac:dyDescent="0.3">
      <c r="A672" s="3" t="s">
        <v>893</v>
      </c>
      <c r="B672" s="6">
        <v>10.98</v>
      </c>
      <c r="C672" s="11">
        <f t="shared" si="11"/>
        <v>1.3689236868680574E-3</v>
      </c>
    </row>
    <row r="673" spans="1:3" x14ac:dyDescent="0.3">
      <c r="A673" s="3" t="s">
        <v>894</v>
      </c>
      <c r="B673" s="6">
        <v>10.98</v>
      </c>
      <c r="C673" s="11">
        <f t="shared" si="11"/>
        <v>1.3689236868680574E-3</v>
      </c>
    </row>
    <row r="674" spans="1:3" x14ac:dyDescent="0.3">
      <c r="A674" s="3" t="s">
        <v>895</v>
      </c>
      <c r="B674" s="6">
        <v>10.98</v>
      </c>
      <c r="C674" s="11">
        <f t="shared" si="11"/>
        <v>1.3689236868680574E-3</v>
      </c>
    </row>
    <row r="675" spans="1:3" x14ac:dyDescent="0.3">
      <c r="A675" s="3" t="s">
        <v>896</v>
      </c>
      <c r="B675" s="6">
        <v>10.98</v>
      </c>
      <c r="C675" s="11">
        <f t="shared" si="11"/>
        <v>1.3689236868680574E-3</v>
      </c>
    </row>
    <row r="676" spans="1:3" x14ac:dyDescent="0.3">
      <c r="A676" s="3" t="s">
        <v>897</v>
      </c>
      <c r="B676" s="6">
        <v>10.98</v>
      </c>
      <c r="C676" s="11">
        <f t="shared" si="11"/>
        <v>1.3689236868680574E-3</v>
      </c>
    </row>
    <row r="677" spans="1:3" x14ac:dyDescent="0.3">
      <c r="A677" s="3" t="s">
        <v>898</v>
      </c>
      <c r="B677" s="6">
        <v>10.98</v>
      </c>
      <c r="C677" s="11">
        <f t="shared" si="11"/>
        <v>1.3689236868680574E-3</v>
      </c>
    </row>
    <row r="678" spans="1:3" x14ac:dyDescent="0.3">
      <c r="A678" s="3" t="s">
        <v>899</v>
      </c>
      <c r="B678" s="6">
        <v>10.98</v>
      </c>
      <c r="C678" s="11">
        <f t="shared" si="11"/>
        <v>1.3689236868680574E-3</v>
      </c>
    </row>
    <row r="679" spans="1:3" x14ac:dyDescent="0.3">
      <c r="A679" s="3" t="s">
        <v>900</v>
      </c>
      <c r="B679" s="6">
        <v>10.98</v>
      </c>
      <c r="C679" s="11">
        <f t="shared" si="11"/>
        <v>1.3689236868680574E-3</v>
      </c>
    </row>
    <row r="680" spans="1:3" x14ac:dyDescent="0.3">
      <c r="A680" s="3" t="s">
        <v>901</v>
      </c>
      <c r="B680" s="6">
        <v>10.98</v>
      </c>
      <c r="C680" s="11">
        <f t="shared" si="11"/>
        <v>1.3689236868680574E-3</v>
      </c>
    </row>
    <row r="681" spans="1:3" x14ac:dyDescent="0.3">
      <c r="A681" s="3" t="s">
        <v>902</v>
      </c>
      <c r="B681" s="6">
        <v>10.98</v>
      </c>
      <c r="C681" s="11">
        <f t="shared" si="11"/>
        <v>1.3689236868680574E-3</v>
      </c>
    </row>
    <row r="682" spans="1:3" x14ac:dyDescent="0.3">
      <c r="A682" s="3" t="s">
        <v>903</v>
      </c>
      <c r="B682" s="6">
        <v>10.98</v>
      </c>
      <c r="C682" s="11">
        <f t="shared" si="11"/>
        <v>1.3689236868680574E-3</v>
      </c>
    </row>
    <row r="683" spans="1:3" x14ac:dyDescent="0.3">
      <c r="A683" s="3" t="s">
        <v>904</v>
      </c>
      <c r="B683" s="6">
        <v>10.98</v>
      </c>
      <c r="C683" s="11">
        <f t="shared" si="11"/>
        <v>1.3689236868680574E-3</v>
      </c>
    </row>
    <row r="684" spans="1:3" x14ac:dyDescent="0.3">
      <c r="A684" s="3" t="s">
        <v>905</v>
      </c>
      <c r="B684" s="6">
        <v>10.98</v>
      </c>
      <c r="C684" s="11">
        <f t="shared" si="11"/>
        <v>1.3689236868680574E-3</v>
      </c>
    </row>
    <row r="685" spans="1:3" x14ac:dyDescent="0.3">
      <c r="A685" s="3" t="s">
        <v>906</v>
      </c>
      <c r="B685" s="6">
        <v>10.98</v>
      </c>
      <c r="C685" s="11">
        <f t="shared" si="11"/>
        <v>1.3689236868680574E-3</v>
      </c>
    </row>
    <row r="686" spans="1:3" x14ac:dyDescent="0.3">
      <c r="A686" s="3" t="s">
        <v>907</v>
      </c>
      <c r="B686" s="6">
        <v>10.98</v>
      </c>
      <c r="C686" s="11">
        <f t="shared" si="11"/>
        <v>1.3689236868680574E-3</v>
      </c>
    </row>
    <row r="687" spans="1:3" x14ac:dyDescent="0.3">
      <c r="A687" s="3" t="s">
        <v>908</v>
      </c>
      <c r="B687" s="6">
        <v>10.98</v>
      </c>
      <c r="C687" s="11">
        <f t="shared" si="11"/>
        <v>1.3689236868680574E-3</v>
      </c>
    </row>
    <row r="688" spans="1:3" x14ac:dyDescent="0.3">
      <c r="A688" s="3" t="s">
        <v>909</v>
      </c>
      <c r="B688" s="6">
        <v>10.98</v>
      </c>
      <c r="C688" s="11">
        <f t="shared" si="11"/>
        <v>1.3689236868680574E-3</v>
      </c>
    </row>
    <row r="689" spans="1:3" x14ac:dyDescent="0.3">
      <c r="A689" s="3" t="s">
        <v>910</v>
      </c>
      <c r="B689" s="6">
        <v>10.98</v>
      </c>
      <c r="C689" s="11">
        <f t="shared" si="11"/>
        <v>1.3689236868680574E-3</v>
      </c>
    </row>
    <row r="690" spans="1:3" x14ac:dyDescent="0.3">
      <c r="A690" s="3" t="s">
        <v>911</v>
      </c>
      <c r="B690" s="6">
        <v>10.98</v>
      </c>
      <c r="C690" s="11">
        <f t="shared" si="11"/>
        <v>1.3689236868680574E-3</v>
      </c>
    </row>
    <row r="691" spans="1:3" x14ac:dyDescent="0.3">
      <c r="A691" s="3" t="s">
        <v>912</v>
      </c>
      <c r="B691" s="6">
        <v>10.98</v>
      </c>
      <c r="C691" s="11">
        <f t="shared" si="11"/>
        <v>1.3689236868680574E-3</v>
      </c>
    </row>
    <row r="692" spans="1:3" x14ac:dyDescent="0.3">
      <c r="A692" s="3" t="s">
        <v>913</v>
      </c>
      <c r="B692" s="6">
        <v>10.98</v>
      </c>
      <c r="C692" s="11">
        <f t="shared" si="11"/>
        <v>1.3689236868680574E-3</v>
      </c>
    </row>
    <row r="693" spans="1:3" x14ac:dyDescent="0.3">
      <c r="A693" s="3" t="s">
        <v>914</v>
      </c>
      <c r="B693" s="6">
        <v>10.98</v>
      </c>
      <c r="C693" s="11">
        <f t="shared" si="11"/>
        <v>1.3689236868680574E-3</v>
      </c>
    </row>
    <row r="694" spans="1:3" x14ac:dyDescent="0.3">
      <c r="A694" s="3" t="s">
        <v>915</v>
      </c>
      <c r="B694" s="6">
        <v>10.98</v>
      </c>
      <c r="C694" s="11">
        <f t="shared" si="11"/>
        <v>1.3689236868680574E-3</v>
      </c>
    </row>
    <row r="695" spans="1:3" x14ac:dyDescent="0.3">
      <c r="A695" s="3" t="s">
        <v>916</v>
      </c>
      <c r="B695" s="6">
        <v>10.98</v>
      </c>
      <c r="C695" s="11">
        <f t="shared" si="11"/>
        <v>1.3689236868680574E-3</v>
      </c>
    </row>
    <row r="696" spans="1:3" x14ac:dyDescent="0.3">
      <c r="A696" s="3" t="s">
        <v>917</v>
      </c>
      <c r="B696" s="6">
        <v>10.98</v>
      </c>
      <c r="C696" s="11">
        <f t="shared" si="11"/>
        <v>1.3689236868680574E-3</v>
      </c>
    </row>
    <row r="697" spans="1:3" x14ac:dyDescent="0.3">
      <c r="A697" s="3" t="s">
        <v>918</v>
      </c>
      <c r="B697" s="6">
        <v>10.98</v>
      </c>
      <c r="C697" s="11">
        <f t="shared" si="11"/>
        <v>1.3689236868680574E-3</v>
      </c>
    </row>
    <row r="698" spans="1:3" x14ac:dyDescent="0.3">
      <c r="A698" s="3" t="s">
        <v>919</v>
      </c>
      <c r="B698" s="6">
        <v>10.98</v>
      </c>
      <c r="C698" s="11">
        <f t="shared" si="11"/>
        <v>1.3689236868680574E-3</v>
      </c>
    </row>
    <row r="699" spans="1:3" x14ac:dyDescent="0.3">
      <c r="A699" s="3" t="s">
        <v>920</v>
      </c>
      <c r="B699" s="6">
        <v>11.34</v>
      </c>
      <c r="C699" s="11">
        <f t="shared" si="11"/>
        <v>1.4138064306997969E-3</v>
      </c>
    </row>
    <row r="700" spans="1:3" x14ac:dyDescent="0.3">
      <c r="A700" s="3" t="s">
        <v>319</v>
      </c>
      <c r="B700" s="6">
        <v>11.34</v>
      </c>
      <c r="C700" s="11">
        <f t="shared" si="11"/>
        <v>1.4138064306997969E-3</v>
      </c>
    </row>
    <row r="701" spans="1:3" x14ac:dyDescent="0.3">
      <c r="A701" s="3" t="s">
        <v>921</v>
      </c>
      <c r="B701" s="6">
        <v>11.34</v>
      </c>
      <c r="C701" s="11">
        <f t="shared" si="11"/>
        <v>1.4138064306997969E-3</v>
      </c>
    </row>
    <row r="702" spans="1:3" x14ac:dyDescent="0.3">
      <c r="A702" s="3" t="s">
        <v>922</v>
      </c>
      <c r="B702" s="6">
        <v>11.34</v>
      </c>
      <c r="C702" s="11">
        <f t="shared" si="11"/>
        <v>1.4138064306997969E-3</v>
      </c>
    </row>
    <row r="703" spans="1:3" x14ac:dyDescent="0.3">
      <c r="A703" s="3" t="s">
        <v>923</v>
      </c>
      <c r="B703" s="6">
        <v>11.34</v>
      </c>
      <c r="C703" s="11">
        <f t="shared" si="11"/>
        <v>1.4138064306997969E-3</v>
      </c>
    </row>
    <row r="704" spans="1:3" x14ac:dyDescent="0.3">
      <c r="A704" s="3" t="s">
        <v>924</v>
      </c>
      <c r="B704" s="6">
        <v>11.34</v>
      </c>
      <c r="C704" s="11">
        <f t="shared" si="11"/>
        <v>1.4138064306997969E-3</v>
      </c>
    </row>
    <row r="705" spans="1:3" x14ac:dyDescent="0.3">
      <c r="A705" s="3" t="s">
        <v>925</v>
      </c>
      <c r="B705" s="6">
        <v>11.34</v>
      </c>
      <c r="C705" s="11">
        <f t="shared" si="11"/>
        <v>1.4138064306997969E-3</v>
      </c>
    </row>
    <row r="706" spans="1:3" x14ac:dyDescent="0.3">
      <c r="A706" s="3" t="s">
        <v>926</v>
      </c>
      <c r="B706" s="6">
        <v>11.34</v>
      </c>
      <c r="C706" s="11">
        <f t="shared" si="11"/>
        <v>1.4138064306997969E-3</v>
      </c>
    </row>
    <row r="707" spans="1:3" x14ac:dyDescent="0.3">
      <c r="A707" s="3" t="s">
        <v>927</v>
      </c>
      <c r="B707" s="6">
        <v>11.34</v>
      </c>
      <c r="C707" s="11">
        <f t="shared" ref="C707:C770" si="12">IFERROR(B707/$B$98,"")</f>
        <v>1.4138064306997969E-3</v>
      </c>
    </row>
    <row r="708" spans="1:3" x14ac:dyDescent="0.3">
      <c r="A708" s="3" t="s">
        <v>928</v>
      </c>
      <c r="B708" s="6">
        <v>11.34</v>
      </c>
      <c r="C708" s="11">
        <f t="shared" si="12"/>
        <v>1.4138064306997969E-3</v>
      </c>
    </row>
    <row r="709" spans="1:3" x14ac:dyDescent="0.3">
      <c r="A709" s="3" t="s">
        <v>929</v>
      </c>
      <c r="B709" s="6">
        <v>11.34</v>
      </c>
      <c r="C709" s="11">
        <f t="shared" si="12"/>
        <v>1.4138064306997969E-3</v>
      </c>
    </row>
    <row r="710" spans="1:3" x14ac:dyDescent="0.3">
      <c r="A710" s="3" t="s">
        <v>930</v>
      </c>
      <c r="B710" s="6">
        <v>11.34</v>
      </c>
      <c r="C710" s="11">
        <f t="shared" si="12"/>
        <v>1.4138064306997969E-3</v>
      </c>
    </row>
    <row r="711" spans="1:3" x14ac:dyDescent="0.3">
      <c r="A711" s="3" t="s">
        <v>931</v>
      </c>
      <c r="B711" s="6">
        <v>11.34</v>
      </c>
      <c r="C711" s="11">
        <f t="shared" si="12"/>
        <v>1.4138064306997969E-3</v>
      </c>
    </row>
    <row r="712" spans="1:3" x14ac:dyDescent="0.3">
      <c r="A712" s="3" t="s">
        <v>932</v>
      </c>
      <c r="B712" s="6">
        <v>11.34</v>
      </c>
      <c r="C712" s="11">
        <f t="shared" si="12"/>
        <v>1.4138064306997969E-3</v>
      </c>
    </row>
    <row r="713" spans="1:3" x14ac:dyDescent="0.3">
      <c r="A713" s="3" t="s">
        <v>933</v>
      </c>
      <c r="B713" s="6">
        <v>11.34</v>
      </c>
      <c r="C713" s="11">
        <f t="shared" si="12"/>
        <v>1.4138064306997969E-3</v>
      </c>
    </row>
    <row r="714" spans="1:3" x14ac:dyDescent="0.3">
      <c r="A714" s="3" t="s">
        <v>934</v>
      </c>
      <c r="B714" s="6">
        <v>11.34</v>
      </c>
      <c r="C714" s="11">
        <f t="shared" si="12"/>
        <v>1.4138064306997969E-3</v>
      </c>
    </row>
    <row r="715" spans="1:3" x14ac:dyDescent="0.3">
      <c r="A715" s="3" t="s">
        <v>935</v>
      </c>
      <c r="B715" s="6">
        <v>11.34</v>
      </c>
      <c r="C715" s="11">
        <f t="shared" si="12"/>
        <v>1.4138064306997969E-3</v>
      </c>
    </row>
    <row r="716" spans="1:3" x14ac:dyDescent="0.3">
      <c r="A716" s="3" t="s">
        <v>936</v>
      </c>
      <c r="B716" s="6">
        <v>11.34</v>
      </c>
      <c r="C716" s="11">
        <f t="shared" si="12"/>
        <v>1.4138064306997969E-3</v>
      </c>
    </row>
    <row r="717" spans="1:3" x14ac:dyDescent="0.3">
      <c r="A717" s="3" t="s">
        <v>937</v>
      </c>
      <c r="B717" s="6">
        <v>11.34</v>
      </c>
      <c r="C717" s="11">
        <f t="shared" si="12"/>
        <v>1.4138064306997969E-3</v>
      </c>
    </row>
    <row r="718" spans="1:3" x14ac:dyDescent="0.3">
      <c r="A718" s="3" t="s">
        <v>938</v>
      </c>
      <c r="B718" s="6">
        <v>11.34</v>
      </c>
      <c r="C718" s="11">
        <f t="shared" si="12"/>
        <v>1.4138064306997969E-3</v>
      </c>
    </row>
    <row r="719" spans="1:3" x14ac:dyDescent="0.3">
      <c r="A719" s="3" t="s">
        <v>939</v>
      </c>
      <c r="B719" s="6">
        <v>11.34</v>
      </c>
      <c r="C719" s="11">
        <f t="shared" si="12"/>
        <v>1.4138064306997969E-3</v>
      </c>
    </row>
    <row r="720" spans="1:3" x14ac:dyDescent="0.3">
      <c r="A720" s="3" t="s">
        <v>940</v>
      </c>
      <c r="B720" s="6">
        <v>11.34</v>
      </c>
      <c r="C720" s="11">
        <f t="shared" si="12"/>
        <v>1.4138064306997969E-3</v>
      </c>
    </row>
    <row r="721" spans="1:3" x14ac:dyDescent="0.3">
      <c r="A721" s="3" t="s">
        <v>941</v>
      </c>
      <c r="B721" s="6">
        <v>11.34</v>
      </c>
      <c r="C721" s="11">
        <f t="shared" si="12"/>
        <v>1.4138064306997969E-3</v>
      </c>
    </row>
    <row r="722" spans="1:3" x14ac:dyDescent="0.3">
      <c r="A722" s="3" t="s">
        <v>942</v>
      </c>
      <c r="B722" s="6">
        <v>11.34</v>
      </c>
      <c r="C722" s="11">
        <f t="shared" si="12"/>
        <v>1.4138064306997969E-3</v>
      </c>
    </row>
    <row r="723" spans="1:3" x14ac:dyDescent="0.3">
      <c r="A723" s="3" t="s">
        <v>943</v>
      </c>
      <c r="B723" s="6">
        <v>11.34</v>
      </c>
      <c r="C723" s="11">
        <f t="shared" si="12"/>
        <v>1.4138064306997969E-3</v>
      </c>
    </row>
    <row r="724" spans="1:3" x14ac:dyDescent="0.3">
      <c r="A724" s="3" t="s">
        <v>944</v>
      </c>
      <c r="B724" s="6">
        <v>11.34</v>
      </c>
      <c r="C724" s="11">
        <f t="shared" si="12"/>
        <v>1.4138064306997969E-3</v>
      </c>
    </row>
    <row r="725" spans="1:3" x14ac:dyDescent="0.3">
      <c r="A725" s="3" t="s">
        <v>945</v>
      </c>
      <c r="B725" s="6">
        <v>11.34</v>
      </c>
      <c r="C725" s="11">
        <f t="shared" si="12"/>
        <v>1.4138064306997969E-3</v>
      </c>
    </row>
    <row r="726" spans="1:3" x14ac:dyDescent="0.3">
      <c r="A726" s="3" t="s">
        <v>946</v>
      </c>
      <c r="B726" s="6">
        <v>11.34</v>
      </c>
      <c r="C726" s="11">
        <f t="shared" si="12"/>
        <v>1.4138064306997969E-3</v>
      </c>
    </row>
    <row r="727" spans="1:3" x14ac:dyDescent="0.3">
      <c r="A727" s="3" t="s">
        <v>947</v>
      </c>
      <c r="B727" s="6">
        <v>11.34</v>
      </c>
      <c r="C727" s="11">
        <f t="shared" si="12"/>
        <v>1.4138064306997969E-3</v>
      </c>
    </row>
    <row r="728" spans="1:3" x14ac:dyDescent="0.3">
      <c r="A728" s="3" t="s">
        <v>948</v>
      </c>
      <c r="B728" s="6">
        <v>11.34</v>
      </c>
      <c r="C728" s="11">
        <f t="shared" si="12"/>
        <v>1.4138064306997969E-3</v>
      </c>
    </row>
    <row r="729" spans="1:3" x14ac:dyDescent="0.3">
      <c r="A729" s="3" t="s">
        <v>949</v>
      </c>
      <c r="B729" s="6">
        <v>11.34</v>
      </c>
      <c r="C729" s="11">
        <f t="shared" si="12"/>
        <v>1.4138064306997969E-3</v>
      </c>
    </row>
    <row r="730" spans="1:3" x14ac:dyDescent="0.3">
      <c r="A730" s="3" t="s">
        <v>950</v>
      </c>
      <c r="B730" s="6">
        <v>11.34</v>
      </c>
      <c r="C730" s="11">
        <f t="shared" si="12"/>
        <v>1.4138064306997969E-3</v>
      </c>
    </row>
    <row r="731" spans="1:3" x14ac:dyDescent="0.3">
      <c r="A731" s="3" t="s">
        <v>951</v>
      </c>
      <c r="B731" s="6">
        <v>11.34</v>
      </c>
      <c r="C731" s="11">
        <f t="shared" si="12"/>
        <v>1.4138064306997969E-3</v>
      </c>
    </row>
    <row r="732" spans="1:3" x14ac:dyDescent="0.3">
      <c r="A732" s="3" t="s">
        <v>952</v>
      </c>
      <c r="B732" s="6">
        <v>11.34</v>
      </c>
      <c r="C732" s="11">
        <f t="shared" si="12"/>
        <v>1.4138064306997969E-3</v>
      </c>
    </row>
    <row r="733" spans="1:3" x14ac:dyDescent="0.3">
      <c r="A733" s="3" t="s">
        <v>953</v>
      </c>
      <c r="B733" s="6">
        <v>11.34</v>
      </c>
      <c r="C733" s="11">
        <f t="shared" si="12"/>
        <v>1.4138064306997969E-3</v>
      </c>
    </row>
    <row r="734" spans="1:3" x14ac:dyDescent="0.3">
      <c r="A734" s="3" t="s">
        <v>954</v>
      </c>
      <c r="B734" s="6">
        <v>11.34</v>
      </c>
      <c r="C734" s="11">
        <f t="shared" si="12"/>
        <v>1.4138064306997969E-3</v>
      </c>
    </row>
    <row r="735" spans="1:3" x14ac:dyDescent="0.3">
      <c r="A735" s="3" t="s">
        <v>955</v>
      </c>
      <c r="B735" s="6">
        <v>11.34</v>
      </c>
      <c r="C735" s="11">
        <f t="shared" si="12"/>
        <v>1.4138064306997969E-3</v>
      </c>
    </row>
    <row r="736" spans="1:3" x14ac:dyDescent="0.3">
      <c r="A736" s="3" t="s">
        <v>956</v>
      </c>
      <c r="B736" s="6">
        <v>11.34</v>
      </c>
      <c r="C736" s="11">
        <f t="shared" si="12"/>
        <v>1.4138064306997969E-3</v>
      </c>
    </row>
    <row r="737" spans="1:3" x14ac:dyDescent="0.3">
      <c r="A737" s="3" t="s">
        <v>957</v>
      </c>
      <c r="B737" s="6">
        <v>11.34</v>
      </c>
      <c r="C737" s="11">
        <f t="shared" si="12"/>
        <v>1.4138064306997969E-3</v>
      </c>
    </row>
    <row r="738" spans="1:3" x14ac:dyDescent="0.3">
      <c r="A738" s="3" t="s">
        <v>958</v>
      </c>
      <c r="B738" s="6">
        <v>11.34</v>
      </c>
      <c r="C738" s="11">
        <f t="shared" si="12"/>
        <v>1.4138064306997969E-3</v>
      </c>
    </row>
    <row r="739" spans="1:3" x14ac:dyDescent="0.3">
      <c r="A739" s="3" t="s">
        <v>959</v>
      </c>
      <c r="B739" s="6">
        <v>11.34</v>
      </c>
      <c r="C739" s="11">
        <f t="shared" si="12"/>
        <v>1.4138064306997969E-3</v>
      </c>
    </row>
    <row r="740" spans="1:3" x14ac:dyDescent="0.3">
      <c r="A740" s="3" t="s">
        <v>960</v>
      </c>
      <c r="B740" s="6">
        <v>11.34</v>
      </c>
      <c r="C740" s="11">
        <f t="shared" si="12"/>
        <v>1.4138064306997969E-3</v>
      </c>
    </row>
    <row r="741" spans="1:3" x14ac:dyDescent="0.3">
      <c r="A741" s="3" t="s">
        <v>961</v>
      </c>
      <c r="B741" s="6">
        <v>11.34</v>
      </c>
      <c r="C741" s="11">
        <f t="shared" si="12"/>
        <v>1.4138064306997969E-3</v>
      </c>
    </row>
    <row r="742" spans="1:3" x14ac:dyDescent="0.3">
      <c r="A742" s="3" t="s">
        <v>962</v>
      </c>
      <c r="B742" s="6">
        <v>11.34</v>
      </c>
      <c r="C742" s="11">
        <f t="shared" si="12"/>
        <v>1.4138064306997969E-3</v>
      </c>
    </row>
    <row r="743" spans="1:3" x14ac:dyDescent="0.3">
      <c r="A743" s="3" t="s">
        <v>963</v>
      </c>
      <c r="B743" s="6">
        <v>11.34</v>
      </c>
      <c r="C743" s="11">
        <f t="shared" si="12"/>
        <v>1.4138064306997969E-3</v>
      </c>
    </row>
    <row r="744" spans="1:3" x14ac:dyDescent="0.3">
      <c r="A744" s="3" t="s">
        <v>964</v>
      </c>
      <c r="B744" s="6">
        <v>11.34</v>
      </c>
      <c r="C744" s="11">
        <f t="shared" si="12"/>
        <v>1.4138064306997969E-3</v>
      </c>
    </row>
    <row r="745" spans="1:3" x14ac:dyDescent="0.3">
      <c r="A745" s="3" t="s">
        <v>965</v>
      </c>
      <c r="B745" s="6">
        <v>11.34</v>
      </c>
      <c r="C745" s="11">
        <f t="shared" si="12"/>
        <v>1.4138064306997969E-3</v>
      </c>
    </row>
    <row r="746" spans="1:3" x14ac:dyDescent="0.3">
      <c r="A746" s="3" t="s">
        <v>966</v>
      </c>
      <c r="B746" s="6">
        <v>11.34</v>
      </c>
      <c r="C746" s="11">
        <f t="shared" si="12"/>
        <v>1.4138064306997969E-3</v>
      </c>
    </row>
    <row r="747" spans="1:3" x14ac:dyDescent="0.3">
      <c r="A747" s="3" t="s">
        <v>967</v>
      </c>
      <c r="B747" s="6">
        <v>11.34</v>
      </c>
      <c r="C747" s="11">
        <f t="shared" si="12"/>
        <v>1.4138064306997969E-3</v>
      </c>
    </row>
    <row r="748" spans="1:3" x14ac:dyDescent="0.3">
      <c r="A748" s="3" t="s">
        <v>968</v>
      </c>
      <c r="B748" s="6">
        <v>11.34</v>
      </c>
      <c r="C748" s="11">
        <f t="shared" si="12"/>
        <v>1.4138064306997969E-3</v>
      </c>
    </row>
    <row r="749" spans="1:3" x14ac:dyDescent="0.3">
      <c r="A749" s="3" t="s">
        <v>969</v>
      </c>
      <c r="B749" s="6">
        <v>11.34</v>
      </c>
      <c r="C749" s="11">
        <f t="shared" si="12"/>
        <v>1.4138064306997969E-3</v>
      </c>
    </row>
    <row r="750" spans="1:3" x14ac:dyDescent="0.3">
      <c r="A750" s="3" t="s">
        <v>970</v>
      </c>
      <c r="B750" s="6">
        <v>11.34</v>
      </c>
      <c r="C750" s="11">
        <f t="shared" si="12"/>
        <v>1.4138064306997969E-3</v>
      </c>
    </row>
    <row r="751" spans="1:3" x14ac:dyDescent="0.3">
      <c r="A751" s="3" t="s">
        <v>971</v>
      </c>
      <c r="B751" s="6">
        <v>11.34</v>
      </c>
      <c r="C751" s="11">
        <f t="shared" si="12"/>
        <v>1.4138064306997969E-3</v>
      </c>
    </row>
    <row r="752" spans="1:3" x14ac:dyDescent="0.3">
      <c r="A752" s="3" t="s">
        <v>972</v>
      </c>
      <c r="B752" s="6">
        <v>11.34</v>
      </c>
      <c r="C752" s="11">
        <f t="shared" si="12"/>
        <v>1.4138064306997969E-3</v>
      </c>
    </row>
    <row r="753" spans="1:3" x14ac:dyDescent="0.3">
      <c r="A753" s="3" t="s">
        <v>973</v>
      </c>
      <c r="B753" s="6">
        <v>11.34</v>
      </c>
      <c r="C753" s="11">
        <f t="shared" si="12"/>
        <v>1.4138064306997969E-3</v>
      </c>
    </row>
    <row r="754" spans="1:3" x14ac:dyDescent="0.3">
      <c r="A754" s="3" t="s">
        <v>974</v>
      </c>
      <c r="B754" s="6">
        <v>11.34</v>
      </c>
      <c r="C754" s="11">
        <f t="shared" si="12"/>
        <v>1.4138064306997969E-3</v>
      </c>
    </row>
    <row r="755" spans="1:3" x14ac:dyDescent="0.3">
      <c r="A755" s="3" t="s">
        <v>975</v>
      </c>
      <c r="B755" s="6">
        <v>11.34</v>
      </c>
      <c r="C755" s="11">
        <f t="shared" si="12"/>
        <v>1.4138064306997969E-3</v>
      </c>
    </row>
    <row r="756" spans="1:3" x14ac:dyDescent="0.3">
      <c r="A756" s="3" t="s">
        <v>976</v>
      </c>
      <c r="B756" s="6">
        <v>11.34</v>
      </c>
      <c r="C756" s="11">
        <f t="shared" si="12"/>
        <v>1.4138064306997969E-3</v>
      </c>
    </row>
    <row r="757" spans="1:3" x14ac:dyDescent="0.3">
      <c r="A757" s="3" t="s">
        <v>977</v>
      </c>
      <c r="B757" s="6">
        <v>11.34</v>
      </c>
      <c r="C757" s="11">
        <f t="shared" si="12"/>
        <v>1.4138064306997969E-3</v>
      </c>
    </row>
    <row r="758" spans="1:3" x14ac:dyDescent="0.3">
      <c r="A758" s="3" t="s">
        <v>978</v>
      </c>
      <c r="B758" s="6">
        <v>11.34</v>
      </c>
      <c r="C758" s="11">
        <f t="shared" si="12"/>
        <v>1.4138064306997969E-3</v>
      </c>
    </row>
    <row r="759" spans="1:3" x14ac:dyDescent="0.3">
      <c r="A759" s="3" t="s">
        <v>979</v>
      </c>
      <c r="B759" s="6">
        <v>11.34</v>
      </c>
      <c r="C759" s="11">
        <f t="shared" si="12"/>
        <v>1.4138064306997969E-3</v>
      </c>
    </row>
    <row r="760" spans="1:3" x14ac:dyDescent="0.3">
      <c r="A760" s="3" t="s">
        <v>980</v>
      </c>
      <c r="B760" s="6">
        <v>11.34</v>
      </c>
      <c r="C760" s="11">
        <f t="shared" si="12"/>
        <v>1.4138064306997969E-3</v>
      </c>
    </row>
    <row r="761" spans="1:3" x14ac:dyDescent="0.3">
      <c r="A761" s="3" t="s">
        <v>981</v>
      </c>
      <c r="B761" s="6">
        <v>11.34</v>
      </c>
      <c r="C761" s="11">
        <f t="shared" si="12"/>
        <v>1.4138064306997969E-3</v>
      </c>
    </row>
    <row r="762" spans="1:3" x14ac:dyDescent="0.3">
      <c r="A762" s="3" t="s">
        <v>982</v>
      </c>
      <c r="B762" s="6">
        <v>11.34</v>
      </c>
      <c r="C762" s="11">
        <f t="shared" si="12"/>
        <v>1.4138064306997969E-3</v>
      </c>
    </row>
    <row r="763" spans="1:3" x14ac:dyDescent="0.3">
      <c r="A763" s="3" t="s">
        <v>983</v>
      </c>
      <c r="B763" s="6">
        <v>11.34</v>
      </c>
      <c r="C763" s="11">
        <f t="shared" si="12"/>
        <v>1.4138064306997969E-3</v>
      </c>
    </row>
    <row r="764" spans="1:3" x14ac:dyDescent="0.3">
      <c r="A764" s="3" t="s">
        <v>984</v>
      </c>
      <c r="B764" s="6">
        <v>11.34</v>
      </c>
      <c r="C764" s="11">
        <f t="shared" si="12"/>
        <v>1.4138064306997969E-3</v>
      </c>
    </row>
    <row r="765" spans="1:3" x14ac:dyDescent="0.3">
      <c r="A765" s="3" t="s">
        <v>985</v>
      </c>
      <c r="B765" s="6">
        <v>11.34</v>
      </c>
      <c r="C765" s="11">
        <f t="shared" si="12"/>
        <v>1.4138064306997969E-3</v>
      </c>
    </row>
    <row r="766" spans="1:3" x14ac:dyDescent="0.3">
      <c r="A766" s="3" t="s">
        <v>986</v>
      </c>
      <c r="B766" s="6">
        <v>11.34</v>
      </c>
      <c r="C766" s="11">
        <f t="shared" si="12"/>
        <v>1.4138064306997969E-3</v>
      </c>
    </row>
    <row r="767" spans="1:3" x14ac:dyDescent="0.3">
      <c r="A767" s="3" t="s">
        <v>987</v>
      </c>
      <c r="B767" s="6">
        <v>11.34</v>
      </c>
      <c r="C767" s="11">
        <f t="shared" si="12"/>
        <v>1.4138064306997969E-3</v>
      </c>
    </row>
    <row r="768" spans="1:3" x14ac:dyDescent="0.3">
      <c r="A768" s="3" t="s">
        <v>988</v>
      </c>
      <c r="B768" s="6">
        <v>11.34</v>
      </c>
      <c r="C768" s="11">
        <f t="shared" si="12"/>
        <v>1.4138064306997969E-3</v>
      </c>
    </row>
    <row r="769" spans="1:3" x14ac:dyDescent="0.3">
      <c r="A769" s="3" t="s">
        <v>989</v>
      </c>
      <c r="B769" s="6">
        <v>11.34</v>
      </c>
      <c r="C769" s="11">
        <f t="shared" si="12"/>
        <v>1.4138064306997969E-3</v>
      </c>
    </row>
    <row r="770" spans="1:3" x14ac:dyDescent="0.3">
      <c r="A770" s="3" t="s">
        <v>990</v>
      </c>
      <c r="B770" s="6">
        <v>11.34</v>
      </c>
      <c r="C770" s="11">
        <f t="shared" si="12"/>
        <v>1.4138064306997969E-3</v>
      </c>
    </row>
    <row r="771" spans="1:3" x14ac:dyDescent="0.3">
      <c r="A771" s="3" t="s">
        <v>991</v>
      </c>
      <c r="B771" s="6">
        <v>11.34</v>
      </c>
      <c r="C771" s="11">
        <f t="shared" ref="C771:C818" si="13">IFERROR(B771/$B$98,"")</f>
        <v>1.4138064306997969E-3</v>
      </c>
    </row>
    <row r="772" spans="1:3" x14ac:dyDescent="0.3">
      <c r="A772" s="3" t="s">
        <v>992</v>
      </c>
      <c r="B772" s="6">
        <v>11.34</v>
      </c>
      <c r="C772" s="11">
        <f t="shared" si="13"/>
        <v>1.4138064306997969E-3</v>
      </c>
    </row>
    <row r="773" spans="1:3" x14ac:dyDescent="0.3">
      <c r="A773" s="3" t="s">
        <v>993</v>
      </c>
      <c r="B773" s="6">
        <v>11.34</v>
      </c>
      <c r="C773" s="11">
        <f t="shared" si="13"/>
        <v>1.4138064306997969E-3</v>
      </c>
    </row>
    <row r="774" spans="1:3" x14ac:dyDescent="0.3">
      <c r="A774" s="3" t="s">
        <v>994</v>
      </c>
      <c r="B774" s="6">
        <v>11.34</v>
      </c>
      <c r="C774" s="11">
        <f t="shared" si="13"/>
        <v>1.4138064306997969E-3</v>
      </c>
    </row>
    <row r="775" spans="1:3" x14ac:dyDescent="0.3">
      <c r="A775" s="3" t="s">
        <v>995</v>
      </c>
      <c r="B775" s="6">
        <v>11.34</v>
      </c>
      <c r="C775" s="11">
        <f t="shared" si="13"/>
        <v>1.4138064306997969E-3</v>
      </c>
    </row>
    <row r="776" spans="1:3" x14ac:dyDescent="0.3">
      <c r="A776" s="3" t="s">
        <v>996</v>
      </c>
      <c r="B776" s="6">
        <v>11.34</v>
      </c>
      <c r="C776" s="11">
        <f t="shared" si="13"/>
        <v>1.4138064306997969E-3</v>
      </c>
    </row>
    <row r="777" spans="1:3" x14ac:dyDescent="0.3">
      <c r="A777" s="3" t="s">
        <v>997</v>
      </c>
      <c r="B777" s="6">
        <v>11.34</v>
      </c>
      <c r="C777" s="11">
        <f t="shared" si="13"/>
        <v>1.4138064306997969E-3</v>
      </c>
    </row>
    <row r="778" spans="1:3" x14ac:dyDescent="0.3">
      <c r="A778" s="3" t="s">
        <v>998</v>
      </c>
      <c r="B778" s="6">
        <v>11.34</v>
      </c>
      <c r="C778" s="11">
        <f t="shared" si="13"/>
        <v>1.4138064306997969E-3</v>
      </c>
    </row>
    <row r="779" spans="1:3" x14ac:dyDescent="0.3">
      <c r="A779" s="3" t="s">
        <v>999</v>
      </c>
      <c r="B779" s="6">
        <v>11.34</v>
      </c>
      <c r="C779" s="11">
        <f t="shared" si="13"/>
        <v>1.4138064306997969E-3</v>
      </c>
    </row>
    <row r="780" spans="1:3" x14ac:dyDescent="0.3">
      <c r="A780" s="3" t="s">
        <v>1000</v>
      </c>
      <c r="B780" s="6">
        <v>11.34</v>
      </c>
      <c r="C780" s="11">
        <f t="shared" si="13"/>
        <v>1.4138064306997969E-3</v>
      </c>
    </row>
    <row r="781" spans="1:3" x14ac:dyDescent="0.3">
      <c r="A781" s="3" t="s">
        <v>1001</v>
      </c>
      <c r="B781" s="6">
        <v>11.34</v>
      </c>
      <c r="C781" s="11">
        <f t="shared" si="13"/>
        <v>1.4138064306997969E-3</v>
      </c>
    </row>
    <row r="782" spans="1:3" x14ac:dyDescent="0.3">
      <c r="A782" s="3" t="s">
        <v>1002</v>
      </c>
      <c r="B782" s="6">
        <v>11.34</v>
      </c>
      <c r="C782" s="11">
        <f t="shared" si="13"/>
        <v>1.4138064306997969E-3</v>
      </c>
    </row>
    <row r="783" spans="1:3" x14ac:dyDescent="0.3">
      <c r="A783" s="3" t="s">
        <v>1003</v>
      </c>
      <c r="B783" s="6">
        <v>11.34</v>
      </c>
      <c r="C783" s="11">
        <f t="shared" si="13"/>
        <v>1.4138064306997969E-3</v>
      </c>
    </row>
    <row r="784" spans="1:3" x14ac:dyDescent="0.3">
      <c r="A784" s="3" t="s">
        <v>1004</v>
      </c>
      <c r="B784" s="6">
        <v>11.34</v>
      </c>
      <c r="C784" s="11">
        <f t="shared" si="13"/>
        <v>1.4138064306997969E-3</v>
      </c>
    </row>
    <row r="785" spans="1:3" x14ac:dyDescent="0.3">
      <c r="A785" s="3" t="s">
        <v>1005</v>
      </c>
      <c r="B785" s="6">
        <v>11.34</v>
      </c>
      <c r="C785" s="11">
        <f t="shared" si="13"/>
        <v>1.4138064306997969E-3</v>
      </c>
    </row>
    <row r="786" spans="1:3" x14ac:dyDescent="0.3">
      <c r="A786" s="3" t="s">
        <v>1006</v>
      </c>
      <c r="B786" s="6">
        <v>11.34</v>
      </c>
      <c r="C786" s="11">
        <f t="shared" si="13"/>
        <v>1.4138064306997969E-3</v>
      </c>
    </row>
    <row r="787" spans="1:3" x14ac:dyDescent="0.3">
      <c r="A787" s="3" t="s">
        <v>1007</v>
      </c>
      <c r="B787" s="6">
        <v>11.34</v>
      </c>
      <c r="C787" s="11">
        <f t="shared" si="13"/>
        <v>1.4138064306997969E-3</v>
      </c>
    </row>
    <row r="788" spans="1:3" x14ac:dyDescent="0.3">
      <c r="A788" s="3" t="s">
        <v>1008</v>
      </c>
      <c r="B788" s="6">
        <v>11.34</v>
      </c>
      <c r="C788" s="11">
        <f t="shared" si="13"/>
        <v>1.4138064306997969E-3</v>
      </c>
    </row>
    <row r="789" spans="1:3" x14ac:dyDescent="0.3">
      <c r="A789" s="3" t="s">
        <v>1009</v>
      </c>
      <c r="B789" s="6">
        <v>11.34</v>
      </c>
      <c r="C789" s="11">
        <f t="shared" si="13"/>
        <v>1.4138064306997969E-3</v>
      </c>
    </row>
    <row r="790" spans="1:3" x14ac:dyDescent="0.3">
      <c r="A790" s="3" t="s">
        <v>1010</v>
      </c>
      <c r="B790" s="6">
        <v>11.34</v>
      </c>
      <c r="C790" s="11">
        <f t="shared" si="13"/>
        <v>1.4138064306997969E-3</v>
      </c>
    </row>
    <row r="791" spans="1:3" x14ac:dyDescent="0.3">
      <c r="A791" s="3" t="s">
        <v>1011</v>
      </c>
      <c r="B791" s="6">
        <v>11.34</v>
      </c>
      <c r="C791" s="11">
        <f t="shared" si="13"/>
        <v>1.4138064306997969E-3</v>
      </c>
    </row>
    <row r="792" spans="1:3" x14ac:dyDescent="0.3">
      <c r="A792" s="3" t="s">
        <v>1012</v>
      </c>
      <c r="B792" s="6">
        <v>11.34</v>
      </c>
      <c r="C792" s="11">
        <f t="shared" si="13"/>
        <v>1.4138064306997969E-3</v>
      </c>
    </row>
    <row r="793" spans="1:3" x14ac:dyDescent="0.3">
      <c r="A793" s="3" t="s">
        <v>1013</v>
      </c>
      <c r="B793" s="6">
        <v>11.34</v>
      </c>
      <c r="C793" s="11">
        <f t="shared" si="13"/>
        <v>1.4138064306997969E-3</v>
      </c>
    </row>
    <row r="794" spans="1:3" x14ac:dyDescent="0.3">
      <c r="A794" s="3" t="s">
        <v>1014</v>
      </c>
      <c r="B794" s="6">
        <v>11.34</v>
      </c>
      <c r="C794" s="11">
        <f t="shared" si="13"/>
        <v>1.4138064306997969E-3</v>
      </c>
    </row>
    <row r="795" spans="1:3" x14ac:dyDescent="0.3">
      <c r="A795" s="3" t="s">
        <v>1015</v>
      </c>
      <c r="B795" s="6">
        <v>11.34</v>
      </c>
      <c r="C795" s="11">
        <f t="shared" si="13"/>
        <v>1.4138064306997969E-3</v>
      </c>
    </row>
    <row r="796" spans="1:3" x14ac:dyDescent="0.3">
      <c r="A796" s="3" t="s">
        <v>1016</v>
      </c>
      <c r="B796" s="6">
        <v>11.34</v>
      </c>
      <c r="C796" s="11">
        <f t="shared" si="13"/>
        <v>1.4138064306997969E-3</v>
      </c>
    </row>
    <row r="797" spans="1:3" x14ac:dyDescent="0.3">
      <c r="A797" s="3" t="s">
        <v>1017</v>
      </c>
      <c r="B797" s="6">
        <v>11.34</v>
      </c>
      <c r="C797" s="11">
        <f t="shared" si="13"/>
        <v>1.4138064306997969E-3</v>
      </c>
    </row>
    <row r="798" spans="1:3" x14ac:dyDescent="0.3">
      <c r="A798" s="3" t="s">
        <v>1018</v>
      </c>
      <c r="B798" s="6">
        <v>11.34</v>
      </c>
      <c r="C798" s="11">
        <f t="shared" si="13"/>
        <v>1.4138064306997969E-3</v>
      </c>
    </row>
    <row r="799" spans="1:3" x14ac:dyDescent="0.3">
      <c r="A799" s="3" t="s">
        <v>1019</v>
      </c>
      <c r="B799" s="6">
        <v>11.34</v>
      </c>
      <c r="C799" s="11">
        <f t="shared" si="13"/>
        <v>1.4138064306997969E-3</v>
      </c>
    </row>
    <row r="800" spans="1:3" x14ac:dyDescent="0.3">
      <c r="A800" s="3" t="s">
        <v>1020</v>
      </c>
      <c r="B800" s="6">
        <v>11.34</v>
      </c>
      <c r="C800" s="11">
        <f t="shared" si="13"/>
        <v>1.4138064306997969E-3</v>
      </c>
    </row>
    <row r="801" spans="1:3" x14ac:dyDescent="0.3">
      <c r="A801" s="3" t="s">
        <v>1021</v>
      </c>
      <c r="B801" s="6">
        <v>11.34</v>
      </c>
      <c r="C801" s="11">
        <f t="shared" si="13"/>
        <v>1.4138064306997969E-3</v>
      </c>
    </row>
    <row r="802" spans="1:3" x14ac:dyDescent="0.3">
      <c r="A802" s="3" t="s">
        <v>1022</v>
      </c>
      <c r="B802" s="6">
        <v>11.34</v>
      </c>
      <c r="C802" s="11">
        <f t="shared" si="13"/>
        <v>1.4138064306997969E-3</v>
      </c>
    </row>
    <row r="803" spans="1:3" x14ac:dyDescent="0.3">
      <c r="A803" s="3" t="s">
        <v>1023</v>
      </c>
      <c r="B803" s="6">
        <v>11.34</v>
      </c>
      <c r="C803" s="11">
        <f t="shared" si="13"/>
        <v>1.4138064306997969E-3</v>
      </c>
    </row>
    <row r="804" spans="1:3" x14ac:dyDescent="0.3">
      <c r="A804" s="3" t="s">
        <v>1024</v>
      </c>
      <c r="B804" s="6">
        <v>11.34</v>
      </c>
      <c r="C804" s="11">
        <f t="shared" si="13"/>
        <v>1.4138064306997969E-3</v>
      </c>
    </row>
    <row r="805" spans="1:3" x14ac:dyDescent="0.3">
      <c r="A805" s="3" t="s">
        <v>1025</v>
      </c>
      <c r="B805" s="6">
        <v>11.34</v>
      </c>
      <c r="C805" s="11">
        <f t="shared" si="13"/>
        <v>1.4138064306997969E-3</v>
      </c>
    </row>
    <row r="806" spans="1:3" x14ac:dyDescent="0.3">
      <c r="A806" s="3" t="s">
        <v>1026</v>
      </c>
      <c r="B806" s="6">
        <v>11.34</v>
      </c>
      <c r="C806" s="11">
        <f t="shared" si="13"/>
        <v>1.4138064306997969E-3</v>
      </c>
    </row>
    <row r="807" spans="1:3" x14ac:dyDescent="0.3">
      <c r="A807" s="3" t="s">
        <v>1027</v>
      </c>
      <c r="B807" s="6">
        <v>11.34</v>
      </c>
      <c r="C807" s="11">
        <f t="shared" si="13"/>
        <v>1.4138064306997969E-3</v>
      </c>
    </row>
    <row r="808" spans="1:3" x14ac:dyDescent="0.3">
      <c r="A808" s="3" t="s">
        <v>1028</v>
      </c>
      <c r="B808" s="6">
        <v>11.34</v>
      </c>
      <c r="C808" s="11">
        <f t="shared" si="13"/>
        <v>1.4138064306997969E-3</v>
      </c>
    </row>
    <row r="809" spans="1:3" x14ac:dyDescent="0.3">
      <c r="A809" s="3" t="s">
        <v>1029</v>
      </c>
      <c r="B809" s="6">
        <v>11.34</v>
      </c>
      <c r="C809" s="11">
        <f t="shared" si="13"/>
        <v>1.4138064306997969E-3</v>
      </c>
    </row>
    <row r="810" spans="1:3" x14ac:dyDescent="0.3">
      <c r="A810" s="3" t="s">
        <v>1030</v>
      </c>
      <c r="B810" s="6">
        <v>11.34</v>
      </c>
      <c r="C810" s="11">
        <f t="shared" si="13"/>
        <v>1.4138064306997969E-3</v>
      </c>
    </row>
    <row r="811" spans="1:3" x14ac:dyDescent="0.3">
      <c r="A811" s="3" t="s">
        <v>1031</v>
      </c>
      <c r="B811" s="6">
        <v>11.34</v>
      </c>
      <c r="C811" s="11">
        <f t="shared" si="13"/>
        <v>1.4138064306997969E-3</v>
      </c>
    </row>
    <row r="812" spans="1:3" x14ac:dyDescent="0.3">
      <c r="A812" s="3" t="s">
        <v>1032</v>
      </c>
      <c r="B812" s="6">
        <v>11.34</v>
      </c>
      <c r="C812" s="11">
        <f t="shared" si="13"/>
        <v>1.4138064306997969E-3</v>
      </c>
    </row>
    <row r="813" spans="1:3" x14ac:dyDescent="0.3">
      <c r="A813" s="3" t="s">
        <v>1033</v>
      </c>
      <c r="B813" s="6">
        <v>11.34</v>
      </c>
      <c r="C813" s="11">
        <f t="shared" si="13"/>
        <v>1.4138064306997969E-3</v>
      </c>
    </row>
    <row r="814" spans="1:3" x14ac:dyDescent="0.3">
      <c r="A814" s="3" t="s">
        <v>1034</v>
      </c>
      <c r="B814" s="6">
        <v>11.34</v>
      </c>
      <c r="C814" s="11">
        <f t="shared" si="13"/>
        <v>1.4138064306997969E-3</v>
      </c>
    </row>
    <row r="815" spans="1:3" x14ac:dyDescent="0.3">
      <c r="A815" s="3" t="s">
        <v>1035</v>
      </c>
      <c r="B815" s="6">
        <v>11.34</v>
      </c>
      <c r="C815" s="11">
        <f t="shared" si="13"/>
        <v>1.4138064306997969E-3</v>
      </c>
    </row>
    <row r="816" spans="1:3" x14ac:dyDescent="0.3">
      <c r="A816" s="3" t="s">
        <v>1036</v>
      </c>
      <c r="B816" s="6">
        <v>11.34</v>
      </c>
      <c r="C816" s="11">
        <f t="shared" si="13"/>
        <v>1.4138064306997969E-3</v>
      </c>
    </row>
    <row r="817" spans="1:3" x14ac:dyDescent="0.3">
      <c r="A817" s="3" t="s">
        <v>1037</v>
      </c>
      <c r="B817" s="6">
        <v>11.34</v>
      </c>
      <c r="C817" s="11">
        <f t="shared" si="13"/>
        <v>1.4138064306997969E-3</v>
      </c>
    </row>
    <row r="818" spans="1:3" x14ac:dyDescent="0.3">
      <c r="A818" s="3" t="s">
        <v>1038</v>
      </c>
      <c r="B818" s="6">
        <v>11.34</v>
      </c>
      <c r="C818" s="11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O166"/>
  <sheetViews>
    <sheetView topLeftCell="A3" zoomScaleNormal="100" workbookViewId="0">
      <pane xSplit="7" ySplit="1" topLeftCell="H126" activePane="bottomRight" state="frozen"/>
      <selection activeCell="A3" sqref="A3"/>
      <selection pane="topRight" activeCell="H3" sqref="H3"/>
      <selection pane="bottomLeft" activeCell="A4" sqref="A4"/>
      <selection pane="bottomRight" activeCell="AK131" sqref="AK131"/>
    </sheetView>
  </sheetViews>
  <sheetFormatPr defaultRowHeight="14.4" x14ac:dyDescent="0.3"/>
  <cols>
    <col min="1" max="1" width="11.21875" style="2" bestFit="1" customWidth="1"/>
    <col min="2" max="2" width="12.5546875" style="2" bestFit="1" customWidth="1"/>
    <col min="3" max="4" width="12.21875" style="2" customWidth="1"/>
    <col min="5" max="6" width="9" style="2" customWidth="1"/>
    <col min="7" max="7" width="12" customWidth="1"/>
    <col min="8" max="8" width="9" style="2" customWidth="1"/>
    <col min="9" max="9" width="9.77734375" customWidth="1"/>
    <col min="10" max="22" width="10.77734375" customWidth="1"/>
    <col min="23" max="25" width="9.77734375" style="2" customWidth="1"/>
    <col min="26" max="26" width="10.21875" style="2" customWidth="1"/>
    <col min="27" max="30" width="9.77734375" style="2" customWidth="1"/>
    <col min="31" max="32" width="10.5546875" style="2" customWidth="1"/>
    <col min="33" max="38" width="9.77734375" style="2" customWidth="1"/>
    <col min="39" max="39" width="16.21875" style="2" customWidth="1"/>
    <col min="40" max="40" width="9.21875" style="2" customWidth="1"/>
    <col min="41" max="41" width="76" bestFit="1" customWidth="1"/>
  </cols>
  <sheetData>
    <row r="1" spans="1:41" hidden="1" x14ac:dyDescent="0.3"/>
    <row r="2" spans="1:41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  <c r="AN2"/>
    </row>
    <row r="3" spans="1:41" ht="60" x14ac:dyDescent="0.3">
      <c r="A3" s="18" t="s">
        <v>51</v>
      </c>
      <c r="B3" s="19" t="s">
        <v>52</v>
      </c>
      <c r="C3" s="19" t="s">
        <v>53</v>
      </c>
      <c r="D3" s="19" t="s">
        <v>56</v>
      </c>
      <c r="E3" s="19" t="s">
        <v>39</v>
      </c>
      <c r="F3" s="19" t="s">
        <v>54</v>
      </c>
      <c r="G3" s="57" t="s">
        <v>40</v>
      </c>
      <c r="H3" s="57" t="s">
        <v>55</v>
      </c>
      <c r="I3" s="19" t="s">
        <v>41</v>
      </c>
      <c r="J3" s="19" t="s">
        <v>42</v>
      </c>
      <c r="K3" s="19" t="s">
        <v>295</v>
      </c>
      <c r="L3" s="19" t="s">
        <v>296</v>
      </c>
      <c r="M3" s="19" t="s">
        <v>297</v>
      </c>
      <c r="N3" s="19" t="s">
        <v>298</v>
      </c>
      <c r="O3" s="19" t="s">
        <v>299</v>
      </c>
      <c r="P3" s="19" t="s">
        <v>300</v>
      </c>
      <c r="Q3" s="19" t="s">
        <v>301</v>
      </c>
      <c r="R3" s="19" t="s">
        <v>302</v>
      </c>
      <c r="S3" s="19" t="s">
        <v>303</v>
      </c>
      <c r="T3" s="19" t="s">
        <v>304</v>
      </c>
      <c r="U3" s="19" t="s">
        <v>305</v>
      </c>
      <c r="V3" s="19" t="s">
        <v>306</v>
      </c>
      <c r="W3" s="19" t="s">
        <v>168</v>
      </c>
      <c r="X3" s="19" t="s">
        <v>169</v>
      </c>
      <c r="Y3" s="19" t="s">
        <v>170</v>
      </c>
      <c r="Z3" s="19" t="s">
        <v>43</v>
      </c>
      <c r="AA3" s="19" t="s">
        <v>44</v>
      </c>
      <c r="AB3" s="19" t="s">
        <v>45</v>
      </c>
      <c r="AC3" s="19" t="s">
        <v>307</v>
      </c>
      <c r="AD3" s="19" t="s">
        <v>46</v>
      </c>
      <c r="AE3" s="19" t="s">
        <v>47</v>
      </c>
      <c r="AF3" s="19" t="s">
        <v>48</v>
      </c>
      <c r="AG3" s="19" t="s">
        <v>49</v>
      </c>
      <c r="AH3" s="19" t="s">
        <v>50</v>
      </c>
      <c r="AI3" s="19" t="s">
        <v>82</v>
      </c>
      <c r="AJ3" s="19" t="s">
        <v>81</v>
      </c>
      <c r="AK3" s="19" t="s">
        <v>80</v>
      </c>
      <c r="AL3" s="19" t="s">
        <v>79</v>
      </c>
      <c r="AM3" s="127" t="s">
        <v>1171</v>
      </c>
      <c r="AN3" s="19" t="s">
        <v>1205</v>
      </c>
      <c r="AO3" s="19" t="s">
        <v>67</v>
      </c>
    </row>
    <row r="4" spans="1:41" x14ac:dyDescent="0.3">
      <c r="A4" s="56">
        <f>YEAR(Table3[[#This Row],[Date]])+IF(MONTH(Table3[[#This Row],[Date]])&gt;=4,1,0)</f>
        <v>2025</v>
      </c>
      <c r="B4" s="56">
        <f>YEAR(Table3[[#This Row],[Date]])</f>
        <v>2025</v>
      </c>
      <c r="C4" s="56" t="s">
        <v>1070</v>
      </c>
      <c r="D4" s="56" t="s">
        <v>1070</v>
      </c>
      <c r="E4" s="6" t="str">
        <f>TEXT(Table3[[#This Row],[Date]],"mmm-yy")</f>
        <v>Mar-25</v>
      </c>
      <c r="F4" s="56">
        <f>DAY(EOMONTH(Table3[[#This Row],[Month Year]],0))</f>
        <v>31</v>
      </c>
      <c r="G4" s="58">
        <v>45745</v>
      </c>
      <c r="H4" s="17">
        <f>'Modelling New'!$AR$1</f>
        <v>8.0208999999999993</v>
      </c>
      <c r="I4" s="88">
        <v>0.2638888888888889</v>
      </c>
      <c r="J4" s="88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79">
        <f>SUM(Table3[[#This Row],[Inv1_U1]:[Inv1_U4]])</f>
        <v>5886.5</v>
      </c>
      <c r="X4" s="80">
        <f>SUM(Table3[[#This Row],[Inv2_U1]:[Inv2_U4]])</f>
        <v>8047.2999999999993</v>
      </c>
      <c r="Y4" s="81">
        <f>SUM(Table3[[#This Row],[Inv3_U1]:[Inv3_U4]])</f>
        <v>11267.2</v>
      </c>
      <c r="Z4" s="59">
        <v>87507.7</v>
      </c>
      <c r="AA4" s="59">
        <v>396.05</v>
      </c>
      <c r="AB4" s="56"/>
      <c r="AC4" s="77">
        <v>5.53</v>
      </c>
      <c r="AD4" s="78">
        <v>0</v>
      </c>
      <c r="AE4" s="77">
        <v>45.37</v>
      </c>
      <c r="AF4" s="77">
        <v>0</v>
      </c>
      <c r="AG4" s="77">
        <v>0</v>
      </c>
      <c r="AH4" s="56"/>
      <c r="AI4" s="16">
        <f>SUM(Table3[[#This Row],[Inv1]:[Inv3]])</f>
        <v>25201</v>
      </c>
      <c r="AJ4" s="16" t="e">
        <f>IF((Table3[[#This Row],[33 kV Outgoinng Export Reading]]-#REF!)*1000&gt;0,(Table3[[#This Row],[33 kV Outgoinng Export Reading]]-#REF!)*1000,0)</f>
        <v>#REF!</v>
      </c>
      <c r="AK4" s="16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67">
        <f t="shared" ref="AM4:AM9" si="1">IFERROR((J4-I4)*24,"")</f>
        <v>12.083333333333336</v>
      </c>
      <c r="AN4" s="67"/>
    </row>
    <row r="5" spans="1:41" x14ac:dyDescent="0.3">
      <c r="A5" s="56">
        <f>YEAR(Table3[[#This Row],[Date]])+IF(MONTH(Table3[[#This Row],[Date]])&gt;=4,1,0)</f>
        <v>2025</v>
      </c>
      <c r="B5" s="56">
        <f>YEAR(Table3[[#This Row],[Date]])</f>
        <v>2025</v>
      </c>
      <c r="C5" s="56" t="s">
        <v>1070</v>
      </c>
      <c r="D5" s="56" t="s">
        <v>1070</v>
      </c>
      <c r="E5" s="6" t="str">
        <f>TEXT(Table3[[#This Row],[Date]],"mmm-yy")</f>
        <v>Mar-25</v>
      </c>
      <c r="F5" s="56">
        <f>DAY(EOMONTH(Table3[[#This Row],[Month Year]],0))</f>
        <v>31</v>
      </c>
      <c r="G5" s="58">
        <f>G4+1</f>
        <v>45746</v>
      </c>
      <c r="H5" s="17">
        <f>'Modelling New'!$AR$1</f>
        <v>8.0208999999999993</v>
      </c>
      <c r="I5" s="88">
        <v>0.2638888888888889</v>
      </c>
      <c r="J5" s="88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79">
        <f>SUM(Table3[[#This Row],[Inv1_U1]:[Inv1_U4]])</f>
        <v>6603.1</v>
      </c>
      <c r="X5" s="80">
        <f>SUM(Table3[[#This Row],[Inv2_U1]:[Inv2_U4]])</f>
        <v>8699.7999999999993</v>
      </c>
      <c r="Y5" s="81">
        <f>SUM(Table3[[#This Row],[Inv3_U1]:[Inv3_U4]])</f>
        <v>12151.1</v>
      </c>
      <c r="Z5" s="59">
        <v>87534.9</v>
      </c>
      <c r="AA5" s="59">
        <v>396.15</v>
      </c>
      <c r="AB5" s="56"/>
      <c r="AC5" s="77">
        <v>5.95</v>
      </c>
      <c r="AD5" s="78">
        <v>0</v>
      </c>
      <c r="AE5" s="77">
        <v>45.2</v>
      </c>
      <c r="AF5" s="77">
        <v>0</v>
      </c>
      <c r="AG5" s="77">
        <v>0</v>
      </c>
      <c r="AH5" s="56"/>
      <c r="AI5" s="16">
        <f>SUM(Table3[[#This Row],[Inv1]:[Inv3]])</f>
        <v>27454</v>
      </c>
      <c r="AJ5" s="16">
        <f>IF((Table3[[#This Row],[33 kV Outgoinng Export Reading]]-Z4)*1000&gt;0,(Table3[[#This Row],[33 kV Outgoinng Export Reading]]-Z4)*1000,0)</f>
        <v>27199.99999999709</v>
      </c>
      <c r="AK5" s="16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67">
        <f t="shared" si="1"/>
        <v>12.1</v>
      </c>
      <c r="AN5" s="67"/>
    </row>
    <row r="6" spans="1:41" x14ac:dyDescent="0.3">
      <c r="A6" s="56">
        <f>YEAR(Table3[[#This Row],[Date]])+IF(MONTH(Table3[[#This Row],[Date]])&gt;=4,1,0)</f>
        <v>2025</v>
      </c>
      <c r="B6" s="56">
        <f>YEAR(Table3[[#This Row],[Date]])</f>
        <v>2025</v>
      </c>
      <c r="C6" s="56" t="s">
        <v>1070</v>
      </c>
      <c r="D6" s="56" t="s">
        <v>1070</v>
      </c>
      <c r="E6" s="6" t="str">
        <f>TEXT(Table3[[#This Row],[Date]],"mmm-yy")</f>
        <v>Mar-25</v>
      </c>
      <c r="F6" s="56">
        <f>DAY(EOMONTH(Table3[[#This Row],[Month Year]],0))</f>
        <v>31</v>
      </c>
      <c r="G6" s="58">
        <f t="shared" ref="G6:G68" si="2">G5+1</f>
        <v>45747</v>
      </c>
      <c r="H6" s="17">
        <f>'Modelling New'!$AR$1</f>
        <v>8.0208999999999993</v>
      </c>
      <c r="I6" s="88">
        <v>0.2638888888888889</v>
      </c>
      <c r="J6" s="88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79">
        <f>SUM(Table3[[#This Row],[Inv1_U1]:[Inv1_U4]])</f>
        <v>6726</v>
      </c>
      <c r="X6" s="80">
        <f>SUM(Table3[[#This Row],[Inv2_U1]:[Inv2_U4]])</f>
        <v>8740.6</v>
      </c>
      <c r="Y6" s="81">
        <f>SUM(Table3[[#This Row],[Inv3_U1]:[Inv3_U4]])</f>
        <v>12209.6</v>
      </c>
      <c r="Z6" s="59">
        <v>87562.3</v>
      </c>
      <c r="AA6" s="59">
        <v>396.25</v>
      </c>
      <c r="AB6" s="56"/>
      <c r="AC6" s="77">
        <v>5.99</v>
      </c>
      <c r="AD6" s="78">
        <v>0</v>
      </c>
      <c r="AE6" s="77">
        <v>44.04</v>
      </c>
      <c r="AF6" s="77">
        <v>0</v>
      </c>
      <c r="AG6" s="77">
        <v>0</v>
      </c>
      <c r="AH6" s="56"/>
      <c r="AI6" s="16">
        <f>SUM(Table3[[#This Row],[Inv1]:[Inv3]])</f>
        <v>27676.2</v>
      </c>
      <c r="AJ6" s="16">
        <f>IF((Table3[[#This Row],[33 kV Outgoinng Export Reading]]-Z5)*1000&gt;0,(Table3[[#This Row],[33 kV Outgoinng Export Reading]]-Z5)*1000,0)</f>
        <v>27400.000000008731</v>
      </c>
      <c r="AK6" s="16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67">
        <f t="shared" si="1"/>
        <v>12.150000000000002</v>
      </c>
      <c r="AN6" s="67"/>
    </row>
    <row r="7" spans="1:41" x14ac:dyDescent="0.3">
      <c r="A7" s="56">
        <f>YEAR(Table3[[#This Row],[Date]])+IF(MONTH(Table3[[#This Row],[Date]])&gt;=4,1,0)</f>
        <v>2026</v>
      </c>
      <c r="B7" s="56">
        <f>YEAR(Table3[[#This Row],[Date]])</f>
        <v>2025</v>
      </c>
      <c r="C7" s="56" t="s">
        <v>1070</v>
      </c>
      <c r="D7" s="56" t="s">
        <v>1070</v>
      </c>
      <c r="E7" s="6" t="str">
        <f>TEXT(Table3[[#This Row],[Date]],"mmm-yy")</f>
        <v>Apr-25</v>
      </c>
      <c r="F7" s="56">
        <f>DAY(EOMONTH(Table3[[#This Row],[Month Year]],0))</f>
        <v>30</v>
      </c>
      <c r="G7" s="58">
        <f t="shared" si="2"/>
        <v>45748</v>
      </c>
      <c r="H7" s="17">
        <f>'Modelling New'!$AR$1</f>
        <v>8.0208999999999993</v>
      </c>
      <c r="I7" s="88">
        <v>0.2638888888888889</v>
      </c>
      <c r="J7" s="88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79">
        <f>SUM(Table3[[#This Row],[Inv1_U1]:[Inv1_U4]])</f>
        <v>6817.9000000000005</v>
      </c>
      <c r="X7" s="80">
        <f>SUM(Table3[[#This Row],[Inv2_U1]:[Inv2_U4]])</f>
        <v>8787.9</v>
      </c>
      <c r="Y7" s="81">
        <f>SUM(Table3[[#This Row],[Inv3_U1]:[Inv3_U4]])</f>
        <v>12276.8</v>
      </c>
      <c r="Z7" s="59">
        <v>87589.95</v>
      </c>
      <c r="AA7" s="59">
        <v>396.35</v>
      </c>
      <c r="AB7" s="56"/>
      <c r="AC7" s="77">
        <v>6.04</v>
      </c>
      <c r="AD7" s="78">
        <v>0</v>
      </c>
      <c r="AE7" s="77">
        <v>45.06</v>
      </c>
      <c r="AF7" s="77">
        <v>0</v>
      </c>
      <c r="AG7" s="77">
        <v>0</v>
      </c>
      <c r="AH7" s="56"/>
      <c r="AI7" s="16">
        <f>SUM(Table3[[#This Row],[Inv1]:[Inv3]])</f>
        <v>27882.6</v>
      </c>
      <c r="AJ7" s="16">
        <f>IF((Table3[[#This Row],[33 kV Outgoinng Export Reading]]-Z6)*1000&gt;0,(Table3[[#This Row],[33 kV Outgoinng Export Reading]]-Z6)*1000,0)</f>
        <v>27649.999999994179</v>
      </c>
      <c r="AK7" s="16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67">
        <f t="shared" si="1"/>
        <v>12.050000000000002</v>
      </c>
      <c r="AN7" s="67"/>
    </row>
    <row r="8" spans="1:41" x14ac:dyDescent="0.3">
      <c r="A8" s="56">
        <f>YEAR(Table3[[#This Row],[Date]])+IF(MONTH(Table3[[#This Row],[Date]])&gt;=4,1,0)</f>
        <v>2026</v>
      </c>
      <c r="B8" s="56">
        <f>YEAR(Table3[[#This Row],[Date]])</f>
        <v>2025</v>
      </c>
      <c r="C8" s="56" t="s">
        <v>1070</v>
      </c>
      <c r="D8" s="56" t="s">
        <v>1070</v>
      </c>
      <c r="E8" s="6" t="str">
        <f>TEXT(Table3[[#This Row],[Date]],"mmm-yy")</f>
        <v>Apr-25</v>
      </c>
      <c r="F8" s="56">
        <f>DAY(EOMONTH(Table3[[#This Row],[Month Year]],0))</f>
        <v>30</v>
      </c>
      <c r="G8" s="58">
        <f t="shared" si="2"/>
        <v>45749</v>
      </c>
      <c r="H8" s="17">
        <f>'Modelling New'!$AR$1</f>
        <v>8.0208999999999993</v>
      </c>
      <c r="I8" s="88">
        <v>0.26319444444444445</v>
      </c>
      <c r="J8" s="88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79">
        <f>SUM(Table3[[#This Row],[Inv1_U1]:[Inv1_U4]])</f>
        <v>5707</v>
      </c>
      <c r="X8" s="80">
        <f>SUM(Table3[[#This Row],[Inv2_U1]:[Inv2_U4]])</f>
        <v>9713.9</v>
      </c>
      <c r="Y8" s="81">
        <f>SUM(Table3[[#This Row],[Inv3_U1]:[Inv3_U4]])</f>
        <v>13640</v>
      </c>
      <c r="Z8" s="59">
        <v>87618.75</v>
      </c>
      <c r="AA8" s="59">
        <v>396.45</v>
      </c>
      <c r="AB8" s="56"/>
      <c r="AC8" s="77">
        <v>6.71</v>
      </c>
      <c r="AD8" s="78">
        <v>0</v>
      </c>
      <c r="AE8" s="77">
        <v>44.65</v>
      </c>
      <c r="AF8" s="77">
        <v>0</v>
      </c>
      <c r="AG8" s="77">
        <v>0</v>
      </c>
      <c r="AH8" s="56"/>
      <c r="AI8" s="16">
        <f>SUM(Table3[[#This Row],[Inv1]:[Inv3]])</f>
        <v>29060.9</v>
      </c>
      <c r="AJ8" s="16">
        <f>IF((Table3[[#This Row],[33 kV Outgoinng Export Reading]]-Z7)*1000&gt;0,(Table3[[#This Row],[33 kV Outgoinng Export Reading]]-Z7)*1000,0)</f>
        <v>28800.00000000291</v>
      </c>
      <c r="AK8" s="16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67">
        <f t="shared" si="1"/>
        <v>12.233333333333333</v>
      </c>
      <c r="AN8" s="67"/>
    </row>
    <row r="9" spans="1:41" x14ac:dyDescent="0.3">
      <c r="A9" s="56">
        <f>YEAR(Table3[[#This Row],[Date]])+IF(MONTH(Table3[[#This Row],[Date]])&gt;=4,1,0)</f>
        <v>2026</v>
      </c>
      <c r="B9" s="56">
        <f>YEAR(Table3[[#This Row],[Date]])</f>
        <v>2025</v>
      </c>
      <c r="C9" s="56" t="s">
        <v>1070</v>
      </c>
      <c r="D9" s="56" t="s">
        <v>1070</v>
      </c>
      <c r="E9" s="6" t="str">
        <f>TEXT(Table3[[#This Row],[Date]],"mmm-yy")</f>
        <v>Apr-25</v>
      </c>
      <c r="F9" s="56">
        <f>DAY(EOMONTH(Table3[[#This Row],[Month Year]],0))</f>
        <v>30</v>
      </c>
      <c r="G9" s="58">
        <f t="shared" si="2"/>
        <v>45750</v>
      </c>
      <c r="H9" s="17">
        <f>'Modelling New'!$AR$1</f>
        <v>8.0208999999999993</v>
      </c>
      <c r="I9" s="88">
        <v>0.26319444444444445</v>
      </c>
      <c r="J9" s="88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79">
        <f>SUM(Table3[[#This Row],[Inv1_U1]:[Inv1_U4]])</f>
        <v>3835.1</v>
      </c>
      <c r="X9" s="80">
        <f>SUM(Table3[[#This Row],[Inv2_U1]:[Inv2_U4]])</f>
        <v>4689.2000000000007</v>
      </c>
      <c r="Y9" s="81">
        <f>SUM(Table3[[#This Row],[Inv3_U1]:[Inv3_U4]])</f>
        <v>6579</v>
      </c>
      <c r="Z9" s="59">
        <v>87633.7</v>
      </c>
      <c r="AA9" s="59">
        <v>396.55</v>
      </c>
      <c r="AB9" s="56"/>
      <c r="AC9" s="77">
        <v>3.79</v>
      </c>
      <c r="AD9" s="78">
        <v>0</v>
      </c>
      <c r="AE9" s="77">
        <v>36.42</v>
      </c>
      <c r="AF9" s="77">
        <v>0</v>
      </c>
      <c r="AG9" s="77">
        <v>0</v>
      </c>
      <c r="AH9" s="56"/>
      <c r="AI9" s="16">
        <f>SUM(Table3[[#This Row],[Inv1]:[Inv3]])</f>
        <v>15103.300000000001</v>
      </c>
      <c r="AJ9" s="16">
        <f>IF((Table3[[#This Row],[33 kV Outgoinng Export Reading]]-Z8)*1000&gt;0,(Table3[[#This Row],[33 kV Outgoinng Export Reading]]-Z8)*1000,0)</f>
        <v>14949.99999999709</v>
      </c>
      <c r="AK9" s="16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67">
        <f t="shared" si="1"/>
        <v>11.450000000000001</v>
      </c>
      <c r="AN9" s="67"/>
    </row>
    <row r="10" spans="1:41" x14ac:dyDescent="0.3">
      <c r="A10" s="56">
        <f>YEAR(Table3[[#This Row],[Date]])+IF(MONTH(Table3[[#This Row],[Date]])&gt;=4,1,0)</f>
        <v>2026</v>
      </c>
      <c r="B10" s="56">
        <f>YEAR(Table3[[#This Row],[Date]])</f>
        <v>2025</v>
      </c>
      <c r="C10" s="56" t="s">
        <v>1070</v>
      </c>
      <c r="D10" s="56" t="s">
        <v>1070</v>
      </c>
      <c r="E10" s="6" t="str">
        <f>TEXT(Table3[[#This Row],[Date]],"mmm-yy")</f>
        <v>Apr-25</v>
      </c>
      <c r="F10" s="56">
        <f>DAY(EOMONTH(Table3[[#This Row],[Month Year]],0))</f>
        <v>30</v>
      </c>
      <c r="G10" s="58">
        <f t="shared" si="2"/>
        <v>45751</v>
      </c>
      <c r="H10" s="17">
        <f>'Modelling New'!$AR$1</f>
        <v>8.0208999999999993</v>
      </c>
      <c r="I10" s="88">
        <v>0.25624999999999998</v>
      </c>
      <c r="J10" s="88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79">
        <f>SUM(Table3[[#This Row],[Inv1_U1]:[Inv1_U4]])</f>
        <v>5755.6</v>
      </c>
      <c r="X10" s="80">
        <f>SUM(Table3[[#This Row],[Inv2_U1]:[Inv2_U4]])</f>
        <v>12424.2</v>
      </c>
      <c r="Y10" s="81">
        <f>SUM(Table3[[#This Row],[Inv3_U1]:[Inv3_U4]])</f>
        <v>14170.1</v>
      </c>
      <c r="Z10" s="59">
        <v>87665.75</v>
      </c>
      <c r="AA10" s="59">
        <v>396.65</v>
      </c>
      <c r="AB10" s="56"/>
      <c r="AC10" s="77">
        <v>6.83</v>
      </c>
      <c r="AD10" s="78">
        <v>0</v>
      </c>
      <c r="AE10" s="77">
        <v>44.06</v>
      </c>
      <c r="AF10" s="77">
        <v>0</v>
      </c>
      <c r="AG10" s="77">
        <v>0</v>
      </c>
      <c r="AH10" s="56"/>
      <c r="AI10" s="16">
        <f>SUM(Table3[[#This Row],[Inv1]:[Inv3]])</f>
        <v>32349.9</v>
      </c>
      <c r="AJ10" s="16">
        <f>IF((Table3[[#This Row],[33 kV Outgoinng Export Reading]]-Z9)*1000&gt;0,(Table3[[#This Row],[33 kV Outgoinng Export Reading]]-Z9)*1000,0)</f>
        <v>32050.00000000291</v>
      </c>
      <c r="AK10" s="16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67">
        <f t="shared" ref="AM10:AM55" si="3">IFERROR((J10-I10)*24,"")</f>
        <v>12.350000000000001</v>
      </c>
      <c r="AN10" s="67"/>
    </row>
    <row r="11" spans="1:41" x14ac:dyDescent="0.3">
      <c r="A11" s="56">
        <f>YEAR(Table3[[#This Row],[Date]])+IF(MONTH(Table3[[#This Row],[Date]])&gt;=4,1,0)</f>
        <v>2026</v>
      </c>
      <c r="B11" s="56">
        <f>YEAR(Table3[[#This Row],[Date]])</f>
        <v>2025</v>
      </c>
      <c r="C11" s="56" t="s">
        <v>1070</v>
      </c>
      <c r="D11" s="56" t="s">
        <v>1070</v>
      </c>
      <c r="E11" s="6" t="str">
        <f>TEXT(Table3[[#This Row],[Date]],"mmm-yy")</f>
        <v>Apr-25</v>
      </c>
      <c r="F11" s="56">
        <f>DAY(EOMONTH(Table3[[#This Row],[Month Year]],0))</f>
        <v>30</v>
      </c>
      <c r="G11" s="58">
        <f t="shared" si="2"/>
        <v>45752</v>
      </c>
      <c r="H11" s="17">
        <f>'Modelling New'!$AR$1</f>
        <v>8.0208999999999993</v>
      </c>
      <c r="I11" s="88">
        <v>0.25833333333333336</v>
      </c>
      <c r="J11" s="88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79">
        <f>SUM(Table3[[#This Row],[Inv1_U1]:[Inv1_U4]])</f>
        <v>4981.2</v>
      </c>
      <c r="X11" s="80">
        <f>SUM(Table3[[#This Row],[Inv2_U1]:[Inv2_U4]])</f>
        <v>12496.099999999999</v>
      </c>
      <c r="Y11" s="81">
        <f>SUM(Table3[[#This Row],[Inv3_U1]:[Inv3_U4]])</f>
        <v>14341.7</v>
      </c>
      <c r="Z11" s="59">
        <v>87697.35</v>
      </c>
      <c r="AA11" s="59">
        <v>396.75</v>
      </c>
      <c r="AB11" s="56"/>
      <c r="AC11" s="77">
        <v>6.96</v>
      </c>
      <c r="AD11" s="78">
        <v>0</v>
      </c>
      <c r="AE11" s="77">
        <v>46.18</v>
      </c>
      <c r="AF11" s="77">
        <v>0</v>
      </c>
      <c r="AG11" s="77">
        <v>0</v>
      </c>
      <c r="AH11" s="56"/>
      <c r="AI11" s="16">
        <f>SUM(Table3[[#This Row],[Inv1]:[Inv3]])</f>
        <v>31819</v>
      </c>
      <c r="AJ11" s="16">
        <f>IF((Table3[[#This Row],[33 kV Outgoinng Export Reading]]-Z10)*1000&gt;0,(Table3[[#This Row],[33 kV Outgoinng Export Reading]]-Z10)*1000,0)</f>
        <v>31600.000000005821</v>
      </c>
      <c r="AK11" s="16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67">
        <f t="shared" si="3"/>
        <v>12.250000000000002</v>
      </c>
      <c r="AN11" s="67"/>
    </row>
    <row r="12" spans="1:41" x14ac:dyDescent="0.3">
      <c r="A12" s="56">
        <f>YEAR(Table3[[#This Row],[Date]])+IF(MONTH(Table3[[#This Row],[Date]])&gt;=4,1,0)</f>
        <v>2026</v>
      </c>
      <c r="B12" s="56">
        <f>YEAR(Table3[[#This Row],[Date]])</f>
        <v>2025</v>
      </c>
      <c r="C12" s="56" t="s">
        <v>1070</v>
      </c>
      <c r="D12" s="56" t="s">
        <v>1070</v>
      </c>
      <c r="E12" s="6" t="str">
        <f>TEXT(Table3[[#This Row],[Date]],"mmm-yy")</f>
        <v>Apr-25</v>
      </c>
      <c r="F12" s="56">
        <f>DAY(EOMONTH(Table3[[#This Row],[Month Year]],0))</f>
        <v>30</v>
      </c>
      <c r="G12" s="58">
        <f t="shared" si="2"/>
        <v>45753</v>
      </c>
      <c r="H12" s="17">
        <f>'Modelling New'!$AR$1</f>
        <v>8.0208999999999993</v>
      </c>
      <c r="I12" s="88">
        <v>0.26111111111111113</v>
      </c>
      <c r="J12" s="88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79">
        <f>SUM(Table3[[#This Row],[Inv1_U1]:[Inv1_U4]])</f>
        <v>6603</v>
      </c>
      <c r="X12" s="80">
        <f>SUM(Table3[[#This Row],[Inv2_U1]:[Inv2_U4]])</f>
        <v>13478.7</v>
      </c>
      <c r="Y12" s="81">
        <f>SUM(Table3[[#This Row],[Inv3_U1]:[Inv3_U4]])</f>
        <v>14183.2</v>
      </c>
      <c r="Z12" s="59">
        <v>87731.35</v>
      </c>
      <c r="AA12" s="59">
        <v>396.85</v>
      </c>
      <c r="AB12" s="56"/>
      <c r="AC12" s="77">
        <v>6.77</v>
      </c>
      <c r="AD12" s="78">
        <v>0</v>
      </c>
      <c r="AE12" s="77">
        <v>45.22</v>
      </c>
      <c r="AF12" s="77">
        <v>0</v>
      </c>
      <c r="AG12" s="77">
        <v>0</v>
      </c>
      <c r="AH12" s="56"/>
      <c r="AI12" s="16">
        <f>SUM(Table3[[#This Row],[Inv1]:[Inv3]])</f>
        <v>34264.9</v>
      </c>
      <c r="AJ12" s="16">
        <f>IF((Table3[[#This Row],[33 kV Outgoinng Export Reading]]-Z11)*1000&gt;0,(Table3[[#This Row],[33 kV Outgoinng Export Reading]]-Z11)*1000,0)</f>
        <v>34000</v>
      </c>
      <c r="AK12" s="16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67">
        <f t="shared" si="3"/>
        <v>12.2</v>
      </c>
      <c r="AN12" s="67"/>
    </row>
    <row r="13" spans="1:41" x14ac:dyDescent="0.3">
      <c r="A13" s="56">
        <f>YEAR(Table3[[#This Row],[Date]])+IF(MONTH(Table3[[#This Row],[Date]])&gt;=4,1,0)</f>
        <v>2026</v>
      </c>
      <c r="B13" s="56">
        <f>YEAR(Table3[[#This Row],[Date]])</f>
        <v>2025</v>
      </c>
      <c r="C13" s="56" t="s">
        <v>1070</v>
      </c>
      <c r="D13" s="56" t="s">
        <v>1070</v>
      </c>
      <c r="E13" s="6" t="str">
        <f>TEXT(Table3[[#This Row],[Date]],"mmm-yy")</f>
        <v>Apr-25</v>
      </c>
      <c r="F13" s="56">
        <f>DAY(EOMONTH(Table3[[#This Row],[Month Year]],0))</f>
        <v>30</v>
      </c>
      <c r="G13" s="58">
        <f t="shared" si="2"/>
        <v>45754</v>
      </c>
      <c r="H13" s="17">
        <f>'Modelling New'!$AR$1</f>
        <v>8.0208999999999993</v>
      </c>
      <c r="I13" s="88">
        <v>0.25833333333333336</v>
      </c>
      <c r="J13" s="88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79">
        <f>SUM(Table3[[#This Row],[Inv1_U1]:[Inv1_U4]])</f>
        <v>9783.5999999999985</v>
      </c>
      <c r="X13" s="80">
        <f>SUM(Table3[[#This Row],[Inv2_U1]:[Inv2_U4]])</f>
        <v>11993.6</v>
      </c>
      <c r="Y13" s="81">
        <f>SUM(Table3[[#This Row],[Inv3_U1]:[Inv3_U4]])</f>
        <v>13807.8</v>
      </c>
      <c r="Z13" s="59">
        <v>87766.65</v>
      </c>
      <c r="AA13" s="59">
        <v>396.95</v>
      </c>
      <c r="AB13" s="56"/>
      <c r="AC13" s="77">
        <v>5.97</v>
      </c>
      <c r="AD13" s="78">
        <v>0</v>
      </c>
      <c r="AE13" s="77">
        <v>45.66</v>
      </c>
      <c r="AF13" s="77">
        <v>0</v>
      </c>
      <c r="AG13" s="77">
        <v>0</v>
      </c>
      <c r="AH13" s="56"/>
      <c r="AI13" s="16">
        <f>SUM(Table3[[#This Row],[Inv1]:[Inv3]])</f>
        <v>35585</v>
      </c>
      <c r="AJ13" s="16">
        <f>IF((Table3[[#This Row],[33 kV Outgoinng Export Reading]]-Z12)*1000&gt;0,(Table3[[#This Row],[33 kV Outgoinng Export Reading]]-Z12)*1000,0)</f>
        <v>35299.999999988358</v>
      </c>
      <c r="AK13" s="16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67">
        <f t="shared" si="3"/>
        <v>12.250000000000002</v>
      </c>
      <c r="AN13" s="67"/>
    </row>
    <row r="14" spans="1:41" x14ac:dyDescent="0.3">
      <c r="A14" s="56">
        <f>YEAR(Table3[[#This Row],[Date]])+IF(MONTH(Table3[[#This Row],[Date]])&gt;=4,1,0)</f>
        <v>2026</v>
      </c>
      <c r="B14" s="56">
        <f>YEAR(Table3[[#This Row],[Date]])</f>
        <v>2025</v>
      </c>
      <c r="C14" s="56" t="s">
        <v>1070</v>
      </c>
      <c r="D14" s="56" t="s">
        <v>1070</v>
      </c>
      <c r="E14" s="6" t="str">
        <f>TEXT(Table3[[#This Row],[Date]],"mmm-yy")</f>
        <v>Apr-25</v>
      </c>
      <c r="F14" s="56">
        <f>DAY(EOMONTH(Table3[[#This Row],[Month Year]],0))</f>
        <v>30</v>
      </c>
      <c r="G14" s="58">
        <f t="shared" si="2"/>
        <v>45755</v>
      </c>
      <c r="H14" s="17">
        <f>'Modelling New'!$AR$1</f>
        <v>8.0208999999999993</v>
      </c>
      <c r="I14" s="88">
        <v>0.25763888888888886</v>
      </c>
      <c r="J14" s="88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79">
        <f>SUM(Table3[[#This Row],[Inv1_U1]:[Inv1_U4]])</f>
        <v>11852.4</v>
      </c>
      <c r="X14" s="80">
        <f>SUM(Table3[[#This Row],[Inv2_U1]:[Inv2_U4]])</f>
        <v>11474.3</v>
      </c>
      <c r="Y14" s="81">
        <f>SUM(Table3[[#This Row],[Inv3_U1]:[Inv3_U4]])</f>
        <v>12111.099999999999</v>
      </c>
      <c r="Z14" s="59">
        <v>87801.8</v>
      </c>
      <c r="AA14" s="59">
        <v>397.05</v>
      </c>
      <c r="AB14" s="56"/>
      <c r="AC14" s="77">
        <v>5.83</v>
      </c>
      <c r="AD14" s="78">
        <v>0</v>
      </c>
      <c r="AE14" s="77">
        <v>43.19</v>
      </c>
      <c r="AF14" s="77">
        <v>0</v>
      </c>
      <c r="AG14" s="77">
        <v>0</v>
      </c>
      <c r="AH14" s="56"/>
      <c r="AI14" s="16">
        <f>SUM(Table3[[#This Row],[Inv1]:[Inv3]])</f>
        <v>35437.799999999996</v>
      </c>
      <c r="AJ14" s="16">
        <f>IF((Table3[[#This Row],[33 kV Outgoinng Export Reading]]-Z13)*1000&gt;0,(Table3[[#This Row],[33 kV Outgoinng Export Reading]]-Z13)*1000,0)</f>
        <v>35150.000000008731</v>
      </c>
      <c r="AK14" s="16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67">
        <f t="shared" si="3"/>
        <v>12.200000000000003</v>
      </c>
      <c r="AN14" s="67"/>
    </row>
    <row r="15" spans="1:41" x14ac:dyDescent="0.3">
      <c r="A15" s="56">
        <f>YEAR(Table3[[#This Row],[Date]])+IF(MONTH(Table3[[#This Row],[Date]])&gt;=4,1,0)</f>
        <v>2026</v>
      </c>
      <c r="B15" s="56">
        <f>YEAR(Table3[[#This Row],[Date]])</f>
        <v>2025</v>
      </c>
      <c r="C15" s="56" t="s">
        <v>1070</v>
      </c>
      <c r="D15" s="56" t="s">
        <v>1070</v>
      </c>
      <c r="E15" s="6" t="str">
        <f>TEXT(Table3[[#This Row],[Date]],"mmm-yy")</f>
        <v>Apr-25</v>
      </c>
      <c r="F15" s="56">
        <f>DAY(EOMONTH(Table3[[#This Row],[Month Year]],0))</f>
        <v>30</v>
      </c>
      <c r="G15" s="58">
        <f t="shared" si="2"/>
        <v>45756</v>
      </c>
      <c r="H15" s="17">
        <f>'Modelling New'!$AR$1</f>
        <v>8.0208999999999993</v>
      </c>
      <c r="I15" s="88">
        <v>0.25694444444444442</v>
      </c>
      <c r="J15" s="88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79">
        <f>SUM(Table3[[#This Row],[Inv1_U1]:[Inv1_U4]])</f>
        <v>12313.7</v>
      </c>
      <c r="X15" s="80">
        <f>SUM(Table3[[#This Row],[Inv2_U1]:[Inv2_U4]])</f>
        <v>11534.599999999999</v>
      </c>
      <c r="Y15" s="81">
        <f>SUM(Table3[[#This Row],[Inv3_U1]:[Inv3_U4]])</f>
        <v>13131.699999999999</v>
      </c>
      <c r="Z15" s="59">
        <v>87838.5</v>
      </c>
      <c r="AA15" s="59">
        <v>397.15</v>
      </c>
      <c r="AB15" s="56"/>
      <c r="AC15" s="77">
        <v>6.34</v>
      </c>
      <c r="AD15" s="78">
        <v>0</v>
      </c>
      <c r="AE15" s="77">
        <v>44.41</v>
      </c>
      <c r="AF15" s="77">
        <v>0</v>
      </c>
      <c r="AG15" s="77">
        <v>0</v>
      </c>
      <c r="AH15" s="56"/>
      <c r="AI15" s="16">
        <f>SUM(Table3[[#This Row],[Inv1]:[Inv3]])</f>
        <v>36980</v>
      </c>
      <c r="AJ15" s="16">
        <f>IF((Table3[[#This Row],[33 kV Outgoinng Export Reading]]-Z14)*1000&gt;0,(Table3[[#This Row],[33 kV Outgoinng Export Reading]]-Z14)*1000,0)</f>
        <v>36699.99999999709</v>
      </c>
      <c r="AK15" s="16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67">
        <f t="shared" si="3"/>
        <v>12.233333333333334</v>
      </c>
      <c r="AN15" s="67"/>
    </row>
    <row r="16" spans="1:41" x14ac:dyDescent="0.3">
      <c r="A16" s="56">
        <f>YEAR(Table3[[#This Row],[Date]])+IF(MONTH(Table3[[#This Row],[Date]])&gt;=4,1,0)</f>
        <v>2026</v>
      </c>
      <c r="B16" s="56">
        <f>YEAR(Table3[[#This Row],[Date]])</f>
        <v>2025</v>
      </c>
      <c r="C16" s="56" t="s">
        <v>1070</v>
      </c>
      <c r="D16" s="56" t="s">
        <v>1070</v>
      </c>
      <c r="E16" s="6" t="str">
        <f>TEXT(Table3[[#This Row],[Date]],"mmm-yy")</f>
        <v>Apr-25</v>
      </c>
      <c r="F16" s="56">
        <f>DAY(EOMONTH(Table3[[#This Row],[Month Year]],0))</f>
        <v>30</v>
      </c>
      <c r="G16" s="58">
        <f t="shared" si="2"/>
        <v>45757</v>
      </c>
      <c r="H16" s="17">
        <f>'Modelling New'!$AR$1</f>
        <v>8.0208999999999993</v>
      </c>
      <c r="I16" s="88">
        <v>0.25833333333333336</v>
      </c>
      <c r="J16" s="88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79">
        <f>SUM(Table3[[#This Row],[Inv1_U1]:[Inv1_U4]])</f>
        <v>11116.6</v>
      </c>
      <c r="X16" s="80">
        <f>SUM(Table3[[#This Row],[Inv2_U1]:[Inv2_U4]])</f>
        <v>10661.6</v>
      </c>
      <c r="Y16" s="81">
        <f>SUM(Table3[[#This Row],[Inv3_U1]:[Inv3_U4]])</f>
        <v>11246.8</v>
      </c>
      <c r="Z16" s="59">
        <v>87871.25</v>
      </c>
      <c r="AA16" s="59">
        <v>397.25</v>
      </c>
      <c r="AB16" s="56"/>
      <c r="AC16" s="77">
        <v>4.8499999999999996</v>
      </c>
      <c r="AD16" s="78">
        <v>0</v>
      </c>
      <c r="AE16" s="77">
        <v>40.22</v>
      </c>
      <c r="AF16" s="77">
        <v>0</v>
      </c>
      <c r="AG16" s="77">
        <v>0</v>
      </c>
      <c r="AH16" s="56"/>
      <c r="AI16" s="16">
        <f>SUM(Table3[[#This Row],[Inv1]:[Inv3]])</f>
        <v>33025</v>
      </c>
      <c r="AJ16" s="16">
        <f>IF((Table3[[#This Row],[33 kV Outgoinng Export Reading]]-Z15)*1000&gt;0,(Table3[[#This Row],[33 kV Outgoinng Export Reading]]-Z15)*1000,0)</f>
        <v>32750</v>
      </c>
      <c r="AK16" s="16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67">
        <f t="shared" si="3"/>
        <v>11.799999999999999</v>
      </c>
      <c r="AN16" s="67"/>
      <c r="AO16" t="s">
        <v>1177</v>
      </c>
    </row>
    <row r="17" spans="1:41" x14ac:dyDescent="0.3">
      <c r="A17" s="56">
        <f>YEAR(Table3[[#This Row],[Date]])+IF(MONTH(Table3[[#This Row],[Date]])&gt;=4,1,0)</f>
        <v>2026</v>
      </c>
      <c r="B17" s="56">
        <f>YEAR(Table3[[#This Row],[Date]])</f>
        <v>2025</v>
      </c>
      <c r="C17" s="56" t="s">
        <v>1070</v>
      </c>
      <c r="D17" s="56" t="s">
        <v>1070</v>
      </c>
      <c r="E17" s="6" t="str">
        <f>TEXT(Table3[[#This Row],[Date]],"mmm-yy")</f>
        <v>Apr-25</v>
      </c>
      <c r="F17" s="56">
        <f>DAY(EOMONTH(Table3[[#This Row],[Month Year]],0))</f>
        <v>30</v>
      </c>
      <c r="G17" s="58">
        <f t="shared" si="2"/>
        <v>45758</v>
      </c>
      <c r="H17" s="17">
        <f>'Modelling New'!$AR$1</f>
        <v>8.0208999999999993</v>
      </c>
      <c r="I17" s="88">
        <v>0.24861111111111112</v>
      </c>
      <c r="J17" s="88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79">
        <f>SUM(Table3[[#This Row],[Inv1_U1]:[Inv1_U4]])</f>
        <v>13231.3</v>
      </c>
      <c r="X17" s="80">
        <f>SUM(Table3[[#This Row],[Inv2_U1]:[Inv2_U4]])</f>
        <v>12455.4</v>
      </c>
      <c r="Y17" s="81">
        <f>SUM(Table3[[#This Row],[Inv3_U1]:[Inv3_U4]])</f>
        <v>14015.599999999999</v>
      </c>
      <c r="Z17" s="59">
        <v>87910.65</v>
      </c>
      <c r="AA17" s="59">
        <v>397.35</v>
      </c>
      <c r="AB17" s="56"/>
      <c r="AC17" s="77">
        <v>6.33</v>
      </c>
      <c r="AD17" s="78">
        <v>0</v>
      </c>
      <c r="AE17" s="77">
        <v>41.85</v>
      </c>
      <c r="AF17" s="77">
        <v>0</v>
      </c>
      <c r="AG17" s="77">
        <v>0</v>
      </c>
      <c r="AH17" s="56"/>
      <c r="AI17" s="16">
        <f>SUM(Table3[[#This Row],[Inv1]:[Inv3]])</f>
        <v>39702.299999999996</v>
      </c>
      <c r="AJ17" s="16">
        <f>IF((Table3[[#This Row],[33 kV Outgoinng Export Reading]]-Z16)*1000&gt;0,(Table3[[#This Row],[33 kV Outgoinng Export Reading]]-Z16)*1000,0)</f>
        <v>39399.999999994179</v>
      </c>
      <c r="AK17" s="16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67">
        <f t="shared" si="3"/>
        <v>12.466666666666669</v>
      </c>
      <c r="AN17" s="67"/>
      <c r="AO17" t="s">
        <v>1177</v>
      </c>
    </row>
    <row r="18" spans="1:41" x14ac:dyDescent="0.3">
      <c r="A18" s="56">
        <f>YEAR(Table3[[#This Row],[Date]])+IF(MONTH(Table3[[#This Row],[Date]])&gt;=4,1,0)</f>
        <v>2026</v>
      </c>
      <c r="B18" s="56">
        <f>YEAR(Table3[[#This Row],[Date]])</f>
        <v>2025</v>
      </c>
      <c r="C18" s="56" t="s">
        <v>1070</v>
      </c>
      <c r="D18" s="56" t="s">
        <v>1070</v>
      </c>
      <c r="E18" s="6" t="str">
        <f>TEXT(Table3[[#This Row],[Date]],"mmm-yy")</f>
        <v>Apr-25</v>
      </c>
      <c r="F18" s="56">
        <f>DAY(EOMONTH(Table3[[#This Row],[Month Year]],0))</f>
        <v>30</v>
      </c>
      <c r="G18" s="58">
        <f t="shared" si="2"/>
        <v>45759</v>
      </c>
      <c r="H18" s="17">
        <f>'Modelling New'!$AR$1</f>
        <v>8.0208999999999993</v>
      </c>
      <c r="I18" s="88">
        <v>0.25347222222222221</v>
      </c>
      <c r="J18" s="88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79">
        <f>SUM(Table3[[#This Row],[Inv1_U1]:[Inv1_U4]])</f>
        <v>13271.7</v>
      </c>
      <c r="X18" s="80">
        <f>SUM(Table3[[#This Row],[Inv2_U1]:[Inv2_U4]])</f>
        <v>11694.199999999999</v>
      </c>
      <c r="Y18" s="81">
        <f>SUM(Table3[[#This Row],[Inv3_U1]:[Inv3_U4]])</f>
        <v>14199.1</v>
      </c>
      <c r="Z18" s="59">
        <v>87949.55</v>
      </c>
      <c r="AA18" s="59">
        <v>397.45</v>
      </c>
      <c r="AB18" s="56"/>
      <c r="AC18" s="77">
        <v>6.54</v>
      </c>
      <c r="AD18" s="78">
        <v>0</v>
      </c>
      <c r="AE18" s="77">
        <v>43.84</v>
      </c>
      <c r="AF18" s="77">
        <v>0</v>
      </c>
      <c r="AG18" s="77">
        <v>0</v>
      </c>
      <c r="AH18" s="56"/>
      <c r="AI18" s="16">
        <f>SUM(Table3[[#This Row],[Inv1]:[Inv3]])</f>
        <v>39165</v>
      </c>
      <c r="AJ18" s="16">
        <f>IF((Table3[[#This Row],[33 kV Outgoinng Export Reading]]-Z17)*1000&gt;0,(Table3[[#This Row],[33 kV Outgoinng Export Reading]]-Z17)*1000,0)</f>
        <v>38900.000000008731</v>
      </c>
      <c r="AK18" s="16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67">
        <f t="shared" si="3"/>
        <v>12.333333333333336</v>
      </c>
      <c r="AN18" s="67"/>
      <c r="AO18" t="s">
        <v>1177</v>
      </c>
    </row>
    <row r="19" spans="1:41" x14ac:dyDescent="0.3">
      <c r="A19" s="56">
        <f>YEAR(Table3[[#This Row],[Date]])+IF(MONTH(Table3[[#This Row],[Date]])&gt;=4,1,0)</f>
        <v>2026</v>
      </c>
      <c r="B19" s="56">
        <f>YEAR(Table3[[#This Row],[Date]])</f>
        <v>2025</v>
      </c>
      <c r="C19" s="56" t="s">
        <v>1070</v>
      </c>
      <c r="D19" s="56" t="s">
        <v>1070</v>
      </c>
      <c r="E19" s="6" t="str">
        <f>TEXT(Table3[[#This Row],[Date]],"mmm-yy")</f>
        <v>Apr-25</v>
      </c>
      <c r="F19" s="56">
        <f>DAY(EOMONTH(Table3[[#This Row],[Month Year]],0))</f>
        <v>30</v>
      </c>
      <c r="G19" s="58">
        <f t="shared" si="2"/>
        <v>45760</v>
      </c>
      <c r="H19" s="17">
        <f>'Modelling New'!$AR$1</f>
        <v>8.0208999999999993</v>
      </c>
      <c r="I19" s="88">
        <v>0.25138888888888888</v>
      </c>
      <c r="J19" s="88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79">
        <f>SUM(Table3[[#This Row],[Inv1_U1]:[Inv1_U4]])</f>
        <v>12511.099999999999</v>
      </c>
      <c r="X19" s="80">
        <f>SUM(Table3[[#This Row],[Inv2_U1]:[Inv2_U4]])</f>
        <v>10964.7</v>
      </c>
      <c r="Y19" s="81">
        <f>SUM(Table3[[#This Row],[Inv3_U1]:[Inv3_U4]])</f>
        <v>13244.599999999999</v>
      </c>
      <c r="Z19" s="59">
        <v>87986</v>
      </c>
      <c r="AA19" s="59">
        <v>397.55</v>
      </c>
      <c r="AB19" s="56"/>
      <c r="AC19" s="77">
        <v>6.35</v>
      </c>
      <c r="AD19" s="78">
        <v>0</v>
      </c>
      <c r="AE19" s="77">
        <v>45.16</v>
      </c>
      <c r="AF19" s="77">
        <v>0</v>
      </c>
      <c r="AG19" s="77">
        <v>0</v>
      </c>
      <c r="AH19" s="56"/>
      <c r="AI19" s="16">
        <f>SUM(Table3[[#This Row],[Inv1]:[Inv3]])</f>
        <v>36720.399999999994</v>
      </c>
      <c r="AJ19" s="16">
        <f>IF((Table3[[#This Row],[33 kV Outgoinng Export Reading]]-Z18)*1000&gt;0,(Table3[[#This Row],[33 kV Outgoinng Export Reading]]-Z18)*1000,0)</f>
        <v>36449.99999999709</v>
      </c>
      <c r="AK19" s="16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67">
        <f t="shared" si="3"/>
        <v>12.416666666666668</v>
      </c>
      <c r="AN19" s="67"/>
      <c r="AO19" t="s">
        <v>1177</v>
      </c>
    </row>
    <row r="20" spans="1:41" x14ac:dyDescent="0.3">
      <c r="A20" s="56">
        <f>YEAR(Table3[[#This Row],[Date]])+IF(MONTH(Table3[[#This Row],[Date]])&gt;=4,1,0)</f>
        <v>2026</v>
      </c>
      <c r="B20" s="56">
        <f>YEAR(Table3[[#This Row],[Date]])</f>
        <v>2025</v>
      </c>
      <c r="C20" s="56" t="s">
        <v>1070</v>
      </c>
      <c r="D20" s="56" t="s">
        <v>1070</v>
      </c>
      <c r="E20" s="6" t="str">
        <f>TEXT(Table3[[#This Row],[Date]],"mmm-yy")</f>
        <v>Apr-25</v>
      </c>
      <c r="F20" s="56">
        <f>DAY(EOMONTH(Table3[[#This Row],[Month Year]],0))</f>
        <v>30</v>
      </c>
      <c r="G20" s="58">
        <f t="shared" si="2"/>
        <v>45761</v>
      </c>
      <c r="H20" s="17">
        <f>'Modelling New'!$AR$1</f>
        <v>8.0208999999999993</v>
      </c>
      <c r="I20" s="88">
        <v>0.25069444444444444</v>
      </c>
      <c r="J20" s="88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79">
        <f>SUM(Table3[[#This Row],[Inv1_U1]:[Inv1_U4]])</f>
        <v>13008.8</v>
      </c>
      <c r="X20" s="80">
        <f>SUM(Table3[[#This Row],[Inv2_U1]:[Inv2_U4]])</f>
        <v>12143.8</v>
      </c>
      <c r="Y20" s="81">
        <f>SUM(Table3[[#This Row],[Inv3_U1]:[Inv3_U4]])</f>
        <v>13879.4</v>
      </c>
      <c r="Z20" s="59">
        <v>88024.75</v>
      </c>
      <c r="AA20" s="59">
        <v>397.65</v>
      </c>
      <c r="AB20" s="56"/>
      <c r="AC20" s="77">
        <v>6.09</v>
      </c>
      <c r="AD20" s="78">
        <v>0</v>
      </c>
      <c r="AE20" s="77">
        <v>43.95</v>
      </c>
      <c r="AF20" s="77">
        <v>0</v>
      </c>
      <c r="AG20" s="77">
        <v>0</v>
      </c>
      <c r="AH20" s="56"/>
      <c r="AI20" s="16">
        <f>SUM(Table3[[#This Row],[Inv1]:[Inv3]])</f>
        <v>39032</v>
      </c>
      <c r="AJ20" s="16">
        <f>IF((Table3[[#This Row],[33 kV Outgoinng Export Reading]]-Z19)*1000&gt;0,(Table3[[#This Row],[33 kV Outgoinng Export Reading]]-Z19)*1000,0)</f>
        <v>38750</v>
      </c>
      <c r="AK20" s="16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67">
        <f t="shared" si="3"/>
        <v>12.466666666666669</v>
      </c>
      <c r="AN20" s="67"/>
      <c r="AO20" t="s">
        <v>1177</v>
      </c>
    </row>
    <row r="21" spans="1:41" x14ac:dyDescent="0.3">
      <c r="A21" s="56">
        <f>YEAR(Table3[[#This Row],[Date]])+IF(MONTH(Table3[[#This Row],[Date]])&gt;=4,1,0)</f>
        <v>2026</v>
      </c>
      <c r="B21" s="56">
        <f>YEAR(Table3[[#This Row],[Date]])</f>
        <v>2025</v>
      </c>
      <c r="C21" s="56" t="s">
        <v>1070</v>
      </c>
      <c r="D21" s="56" t="s">
        <v>1070</v>
      </c>
      <c r="E21" s="6" t="str">
        <f>TEXT(Table3[[#This Row],[Date]],"mmm-yy")</f>
        <v>Apr-25</v>
      </c>
      <c r="F21" s="56">
        <f>DAY(EOMONTH(Table3[[#This Row],[Month Year]],0))</f>
        <v>30</v>
      </c>
      <c r="G21" s="58">
        <f t="shared" si="2"/>
        <v>45762</v>
      </c>
      <c r="H21" s="17">
        <f>'Modelling New'!$AR$1</f>
        <v>8.0208999999999993</v>
      </c>
      <c r="I21" s="88">
        <v>0.25069444444444444</v>
      </c>
      <c r="J21" s="88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79">
        <f>SUM(Table3[[#This Row],[Inv1_U1]:[Inv1_U4]])</f>
        <v>11672.4</v>
      </c>
      <c r="X21" s="80">
        <f>SUM(Table3[[#This Row],[Inv2_U1]:[Inv2_U4]])</f>
        <v>10836.1</v>
      </c>
      <c r="Y21" s="81">
        <f>SUM(Table3[[#This Row],[Inv3_U1]:[Inv3_U4]])</f>
        <v>11831.5</v>
      </c>
      <c r="Z21" s="59">
        <v>88058.75</v>
      </c>
      <c r="AA21" s="59">
        <v>397.75</v>
      </c>
      <c r="AB21" s="56"/>
      <c r="AC21" s="77">
        <v>5.28</v>
      </c>
      <c r="AD21" s="78">
        <v>0</v>
      </c>
      <c r="AE21" s="77">
        <v>42.86</v>
      </c>
      <c r="AF21" s="77">
        <v>0</v>
      </c>
      <c r="AG21" s="77">
        <v>0</v>
      </c>
      <c r="AH21" s="56"/>
      <c r="AI21" s="16">
        <f>SUM(Table3[[#This Row],[Inv1]:[Inv3]])</f>
        <v>34340</v>
      </c>
      <c r="AJ21" s="16">
        <f>IF((Table3[[#This Row],[33 kV Outgoinng Export Reading]]-Z20)*1000&gt;0,(Table3[[#This Row],[33 kV Outgoinng Export Reading]]-Z20)*1000,0)</f>
        <v>34000</v>
      </c>
      <c r="AK21" s="16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67">
        <f t="shared" si="3"/>
        <v>12.600000000000001</v>
      </c>
      <c r="AN21" s="67"/>
      <c r="AO21" t="s">
        <v>1177</v>
      </c>
    </row>
    <row r="22" spans="1:41" x14ac:dyDescent="0.3">
      <c r="A22" s="56">
        <f>YEAR(Table3[[#This Row],[Date]])+IF(MONTH(Table3[[#This Row],[Date]])&gt;=4,1,0)</f>
        <v>2026</v>
      </c>
      <c r="B22" s="56">
        <f>YEAR(Table3[[#This Row],[Date]])</f>
        <v>2025</v>
      </c>
      <c r="C22" s="56" t="s">
        <v>1070</v>
      </c>
      <c r="D22" s="56" t="s">
        <v>1070</v>
      </c>
      <c r="E22" s="6" t="str">
        <f>TEXT(Table3[[#This Row],[Date]],"mmm-yy")</f>
        <v>Apr-25</v>
      </c>
      <c r="F22" s="56">
        <f>DAY(EOMONTH(Table3[[#This Row],[Month Year]],0))</f>
        <v>30</v>
      </c>
      <c r="G22" s="58">
        <f t="shared" si="2"/>
        <v>45763</v>
      </c>
      <c r="H22" s="17">
        <f>'Modelling New'!$AR$1</f>
        <v>8.0208999999999993</v>
      </c>
      <c r="I22" s="88">
        <v>0.25</v>
      </c>
      <c r="J22" s="88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79">
        <f>SUM(Table3[[#This Row],[Inv1_U1]:[Inv1_U4]])</f>
        <v>10006.900000000001</v>
      </c>
      <c r="X22" s="80">
        <f>SUM(Table3[[#This Row],[Inv2_U1]:[Inv2_U4]])</f>
        <v>9609.1</v>
      </c>
      <c r="Y22" s="81">
        <f>SUM(Table3[[#This Row],[Inv3_U1]:[Inv3_U4]])</f>
        <v>10243.4</v>
      </c>
      <c r="Z22" s="59">
        <v>88088.35</v>
      </c>
      <c r="AA22" s="59">
        <v>397.85</v>
      </c>
      <c r="AB22" s="56"/>
      <c r="AC22" s="77">
        <v>5.92</v>
      </c>
      <c r="AD22" s="78">
        <v>0</v>
      </c>
      <c r="AE22" s="77">
        <v>42.54</v>
      </c>
      <c r="AF22" s="77">
        <v>0</v>
      </c>
      <c r="AG22" s="77">
        <v>0</v>
      </c>
      <c r="AH22" s="56"/>
      <c r="AI22" s="16">
        <f>SUM(Table3[[#This Row],[Inv1]:[Inv3]])</f>
        <v>29859.4</v>
      </c>
      <c r="AJ22" s="16">
        <f>IF((Table3[[#This Row],[33 kV Outgoinng Export Reading]]-Z21)*1000&gt;0,(Table3[[#This Row],[33 kV Outgoinng Export Reading]]-Z21)*1000,0)</f>
        <v>29600.000000005821</v>
      </c>
      <c r="AK22" s="16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67">
        <f t="shared" si="3"/>
        <v>12.5</v>
      </c>
      <c r="AN22" s="67"/>
      <c r="AO22" t="s">
        <v>1177</v>
      </c>
    </row>
    <row r="23" spans="1:41" x14ac:dyDescent="0.3">
      <c r="A23" s="56">
        <f>YEAR(Table3[[#This Row],[Date]])+IF(MONTH(Table3[[#This Row],[Date]])&gt;=4,1,0)</f>
        <v>2026</v>
      </c>
      <c r="B23" s="56">
        <f>YEAR(Table3[[#This Row],[Date]])</f>
        <v>2025</v>
      </c>
      <c r="C23" s="56" t="s">
        <v>1070</v>
      </c>
      <c r="D23" s="56" t="s">
        <v>1070</v>
      </c>
      <c r="E23" s="6" t="str">
        <f>TEXT(Table3[[#This Row],[Date]],"mmm-yy")</f>
        <v>Apr-25</v>
      </c>
      <c r="F23" s="56">
        <f>DAY(EOMONTH(Table3[[#This Row],[Month Year]],0))</f>
        <v>30</v>
      </c>
      <c r="G23" s="58">
        <f t="shared" si="2"/>
        <v>45764</v>
      </c>
      <c r="H23" s="17">
        <f>'Modelling New'!$AR$1</f>
        <v>8.0208999999999993</v>
      </c>
      <c r="I23" s="88">
        <v>0.25</v>
      </c>
      <c r="J23" s="88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79">
        <f>SUM(Table3[[#This Row],[Inv1_U1]:[Inv1_U4]])</f>
        <v>12086.2</v>
      </c>
      <c r="X23" s="80">
        <f>SUM(Table3[[#This Row],[Inv2_U1]:[Inv2_U4]])</f>
        <v>11727.1</v>
      </c>
      <c r="Y23" s="81">
        <f>SUM(Table3[[#This Row],[Inv3_U1]:[Inv3_U4]])</f>
        <v>12341.1</v>
      </c>
      <c r="Z23" s="59">
        <v>88124.2</v>
      </c>
      <c r="AA23" s="59">
        <v>397.95</v>
      </c>
      <c r="AB23" s="56"/>
      <c r="AC23" s="77">
        <v>5.66</v>
      </c>
      <c r="AD23" s="78">
        <v>0</v>
      </c>
      <c r="AE23" s="77">
        <v>43.35</v>
      </c>
      <c r="AF23" s="77">
        <v>0</v>
      </c>
      <c r="AG23" s="77">
        <v>0</v>
      </c>
      <c r="AH23" s="56"/>
      <c r="AI23" s="16">
        <f>SUM(Table3[[#This Row],[Inv1]:[Inv3]])</f>
        <v>36154.400000000001</v>
      </c>
      <c r="AJ23" s="16">
        <f>IF((Table3[[#This Row],[33 kV Outgoinng Export Reading]]-Z22)*1000&gt;0,(Table3[[#This Row],[33 kV Outgoinng Export Reading]]-Z22)*1000,0)</f>
        <v>35849.999999991269</v>
      </c>
      <c r="AK23" s="16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67">
        <f t="shared" si="3"/>
        <v>12.5</v>
      </c>
      <c r="AN23" s="67"/>
      <c r="AO23" t="s">
        <v>1177</v>
      </c>
    </row>
    <row r="24" spans="1:41" x14ac:dyDescent="0.3">
      <c r="A24" s="56">
        <f>YEAR(Table3[[#This Row],[Date]])+IF(MONTH(Table3[[#This Row],[Date]])&gt;=4,1,0)</f>
        <v>2026</v>
      </c>
      <c r="B24" s="56">
        <f>YEAR(Table3[[#This Row],[Date]])</f>
        <v>2025</v>
      </c>
      <c r="C24" s="56" t="s">
        <v>1070</v>
      </c>
      <c r="D24" s="56" t="s">
        <v>1070</v>
      </c>
      <c r="E24" s="6" t="str">
        <f>TEXT(Table3[[#This Row],[Date]],"mmm-yy")</f>
        <v>Apr-25</v>
      </c>
      <c r="F24" s="56">
        <f>DAY(EOMONTH(Table3[[#This Row],[Month Year]],0))</f>
        <v>30</v>
      </c>
      <c r="G24" s="58">
        <f t="shared" si="2"/>
        <v>45765</v>
      </c>
      <c r="H24" s="17">
        <f>'Modelling New'!$AR$1</f>
        <v>8.0208999999999993</v>
      </c>
      <c r="I24" s="88">
        <v>0.25416666666666665</v>
      </c>
      <c r="J24" s="88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79">
        <f>SUM(Table3[[#This Row],[Inv1_U1]:[Inv1_U4]])</f>
        <v>9113.2000000000007</v>
      </c>
      <c r="X24" s="80">
        <f>SUM(Table3[[#This Row],[Inv2_U1]:[Inv2_U4]])</f>
        <v>8863.7999999999993</v>
      </c>
      <c r="Y24" s="81">
        <f>SUM(Table3[[#This Row],[Inv3_U1]:[Inv3_U4]])</f>
        <v>9262.5</v>
      </c>
      <c r="Z24" s="59">
        <v>88151.2</v>
      </c>
      <c r="AA24" s="59">
        <v>398.05</v>
      </c>
      <c r="AB24" s="56"/>
      <c r="AC24" s="77">
        <v>5.38</v>
      </c>
      <c r="AD24" s="78">
        <v>0</v>
      </c>
      <c r="AE24" s="77">
        <v>43.02</v>
      </c>
      <c r="AF24" s="77">
        <v>0</v>
      </c>
      <c r="AG24" s="77">
        <v>0</v>
      </c>
      <c r="AH24" s="56"/>
      <c r="AI24" s="16">
        <f>SUM(Table3[[#This Row],[Inv1]:[Inv3]])</f>
        <v>27239.5</v>
      </c>
      <c r="AJ24" s="16">
        <f>IF((Table3[[#This Row],[33 kV Outgoinng Export Reading]]-Z23)*1000&gt;0,(Table3[[#This Row],[33 kV Outgoinng Export Reading]]-Z23)*1000,0)</f>
        <v>27000</v>
      </c>
      <c r="AK24" s="16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67">
        <f t="shared" si="3"/>
        <v>12.516666666666667</v>
      </c>
      <c r="AN24" s="67"/>
      <c r="AO24" t="s">
        <v>1177</v>
      </c>
    </row>
    <row r="25" spans="1:41" x14ac:dyDescent="0.3">
      <c r="A25" s="56">
        <f>YEAR(Table3[[#This Row],[Date]])+IF(MONTH(Table3[[#This Row],[Date]])&gt;=4,1,0)</f>
        <v>2026</v>
      </c>
      <c r="B25" s="56">
        <f>YEAR(Table3[[#This Row],[Date]])</f>
        <v>2025</v>
      </c>
      <c r="C25" s="56" t="s">
        <v>1070</v>
      </c>
      <c r="D25" s="56" t="s">
        <v>1070</v>
      </c>
      <c r="E25" s="6" t="str">
        <f>TEXT(Table3[[#This Row],[Date]],"mmm-yy")</f>
        <v>Apr-25</v>
      </c>
      <c r="F25" s="56">
        <f>DAY(EOMONTH(Table3[[#This Row],[Month Year]],0))</f>
        <v>30</v>
      </c>
      <c r="G25" s="58">
        <f t="shared" si="2"/>
        <v>45766</v>
      </c>
      <c r="H25" s="17">
        <f>'Modelling New'!$AR$1</f>
        <v>8.0208999999999993</v>
      </c>
      <c r="I25" s="88">
        <v>0.25624999999999998</v>
      </c>
      <c r="J25" s="88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79">
        <f>SUM(Table3[[#This Row],[Inv1_U1]:[Inv1_U4]])</f>
        <v>11357.400000000001</v>
      </c>
      <c r="X25" s="80">
        <f>SUM(Table3[[#This Row],[Inv2_U1]:[Inv2_U4]])</f>
        <v>10945.7</v>
      </c>
      <c r="Y25" s="81">
        <f>SUM(Table3[[#This Row],[Inv3_U1]:[Inv3_U4]])</f>
        <v>11418.399999999998</v>
      </c>
      <c r="Z25" s="59">
        <v>88184.6</v>
      </c>
      <c r="AA25" s="59">
        <v>398.15</v>
      </c>
      <c r="AB25" s="56"/>
      <c r="AC25" s="77">
        <v>5.54</v>
      </c>
      <c r="AD25" s="78">
        <v>0</v>
      </c>
      <c r="AE25" s="77">
        <v>43.31</v>
      </c>
      <c r="AF25" s="77">
        <v>0</v>
      </c>
      <c r="AG25" s="77">
        <v>0</v>
      </c>
      <c r="AH25" s="56"/>
      <c r="AI25" s="16">
        <f>SUM(Table3[[#This Row],[Inv1]:[Inv3]])</f>
        <v>33721.5</v>
      </c>
      <c r="AJ25" s="16">
        <f>IF((Table3[[#This Row],[33 kV Outgoinng Export Reading]]-Z24)*1000&gt;0,(Table3[[#This Row],[33 kV Outgoinng Export Reading]]-Z24)*1000,0)</f>
        <v>33400.000000008731</v>
      </c>
      <c r="AK25" s="16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67">
        <f t="shared" si="3"/>
        <v>12.416666666666668</v>
      </c>
      <c r="AN25" s="67"/>
      <c r="AO25" t="s">
        <v>1177</v>
      </c>
    </row>
    <row r="26" spans="1:41" x14ac:dyDescent="0.3">
      <c r="A26" s="56">
        <f>YEAR(Table3[[#This Row],[Date]])+IF(MONTH(Table3[[#This Row],[Date]])&gt;=4,1,0)</f>
        <v>2026</v>
      </c>
      <c r="B26" s="56">
        <f>YEAR(Table3[[#This Row],[Date]])</f>
        <v>2025</v>
      </c>
      <c r="C26" s="56" t="s">
        <v>1070</v>
      </c>
      <c r="D26" s="56" t="s">
        <v>1070</v>
      </c>
      <c r="E26" s="6" t="str">
        <f>TEXT(Table3[[#This Row],[Date]],"mmm-yy")</f>
        <v>Apr-25</v>
      </c>
      <c r="F26" s="56">
        <f>DAY(EOMONTH(Table3[[#This Row],[Month Year]],0))</f>
        <v>30</v>
      </c>
      <c r="G26" s="58">
        <f t="shared" si="2"/>
        <v>45767</v>
      </c>
      <c r="H26" s="17">
        <f>'Modelling New'!$AR$1</f>
        <v>8.0208999999999993</v>
      </c>
      <c r="I26" s="88">
        <v>0.25347222222222221</v>
      </c>
      <c r="J26" s="88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79">
        <f>SUM(Table3[[#This Row],[Inv1_U1]:[Inv1_U4]])</f>
        <v>13776.699999999999</v>
      </c>
      <c r="X26" s="80">
        <f>SUM(Table3[[#This Row],[Inv2_U1]:[Inv2_U4]])</f>
        <v>12948.599999999999</v>
      </c>
      <c r="Y26" s="81">
        <f>SUM(Table3[[#This Row],[Inv3_U1]:[Inv3_U4]])</f>
        <v>13900.599999999999</v>
      </c>
      <c r="Z26" s="59">
        <v>88224.85</v>
      </c>
      <c r="AA26" s="59">
        <v>398.25</v>
      </c>
      <c r="AB26" s="56"/>
      <c r="AC26" s="77">
        <v>5.12</v>
      </c>
      <c r="AD26" s="78">
        <v>0</v>
      </c>
      <c r="AE26" s="77">
        <v>45.39</v>
      </c>
      <c r="AF26" s="77">
        <v>0</v>
      </c>
      <c r="AG26" s="77">
        <v>0</v>
      </c>
      <c r="AH26" s="56"/>
      <c r="AI26" s="16">
        <f>SUM(Table3[[#This Row],[Inv1]:[Inv3]])</f>
        <v>40625.899999999994</v>
      </c>
      <c r="AJ26" s="16">
        <f>IF((Table3[[#This Row],[33 kV Outgoinng Export Reading]]-Z25)*1000&gt;0,(Table3[[#This Row],[33 kV Outgoinng Export Reading]]-Z25)*1000,0)</f>
        <v>40250</v>
      </c>
      <c r="AK26" s="16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67">
        <f t="shared" si="3"/>
        <v>12.5</v>
      </c>
      <c r="AN26" s="67"/>
      <c r="AO26" t="s">
        <v>1177</v>
      </c>
    </row>
    <row r="27" spans="1:41" x14ac:dyDescent="0.3">
      <c r="A27" s="56">
        <f>YEAR(Table3[[#This Row],[Date]])+IF(MONTH(Table3[[#This Row],[Date]])&gt;=4,1,0)</f>
        <v>2026</v>
      </c>
      <c r="B27" s="56">
        <f>YEAR(Table3[[#This Row],[Date]])</f>
        <v>2025</v>
      </c>
      <c r="C27" s="56" t="s">
        <v>1070</v>
      </c>
      <c r="D27" s="56" t="s">
        <v>1070</v>
      </c>
      <c r="E27" s="6" t="str">
        <f>TEXT(Table3[[#This Row],[Date]],"mmm-yy")</f>
        <v>Apr-25</v>
      </c>
      <c r="F27" s="56">
        <f>DAY(EOMONTH(Table3[[#This Row],[Month Year]],0))</f>
        <v>30</v>
      </c>
      <c r="G27" s="58">
        <f t="shared" si="2"/>
        <v>45768</v>
      </c>
      <c r="H27" s="17">
        <f>'Modelling New'!$AR$1</f>
        <v>8.0208999999999993</v>
      </c>
      <c r="I27" s="88">
        <v>0.25069444444444444</v>
      </c>
      <c r="J27" s="88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79">
        <f>SUM(Table3[[#This Row],[Inv1_U1]:[Inv1_U4]])</f>
        <v>9821.0999999999985</v>
      </c>
      <c r="X27" s="80">
        <f>SUM(Table3[[#This Row],[Inv2_U1]:[Inv2_U4]])</f>
        <v>9465.4</v>
      </c>
      <c r="Y27" s="81">
        <f>SUM(Table3[[#This Row],[Inv3_U1]:[Inv3_U4]])</f>
        <v>10055.4</v>
      </c>
      <c r="Z27" s="59">
        <v>88253.95</v>
      </c>
      <c r="AA27" s="59">
        <v>398.35</v>
      </c>
      <c r="AB27" s="56"/>
      <c r="AC27" s="77">
        <v>5.26</v>
      </c>
      <c r="AD27" s="78">
        <v>0</v>
      </c>
      <c r="AE27" s="77">
        <v>43.8</v>
      </c>
      <c r="AF27" s="77">
        <v>0</v>
      </c>
      <c r="AG27" s="77">
        <v>0</v>
      </c>
      <c r="AH27" s="56"/>
      <c r="AI27" s="16">
        <f>SUM(Table3[[#This Row],[Inv1]:[Inv3]])</f>
        <v>29341.9</v>
      </c>
      <c r="AJ27" s="16">
        <f>IF((Table3[[#This Row],[33 kV Outgoinng Export Reading]]-Z26)*1000&gt;0,(Table3[[#This Row],[33 kV Outgoinng Export Reading]]-Z26)*1000,0)</f>
        <v>29099.999999991269</v>
      </c>
      <c r="AK27" s="16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67">
        <f t="shared" si="3"/>
        <v>12.450000000000001</v>
      </c>
      <c r="AN27" s="67"/>
      <c r="AO27" t="s">
        <v>1177</v>
      </c>
    </row>
    <row r="28" spans="1:41" x14ac:dyDescent="0.3">
      <c r="A28" s="56">
        <f>YEAR(Table3[[#This Row],[Date]])+IF(MONTH(Table3[[#This Row],[Date]])&gt;=4,1,0)</f>
        <v>2026</v>
      </c>
      <c r="B28" s="56">
        <f>YEAR(Table3[[#This Row],[Date]])</f>
        <v>2025</v>
      </c>
      <c r="C28" s="56" t="s">
        <v>1070</v>
      </c>
      <c r="D28" s="56" t="s">
        <v>1070</v>
      </c>
      <c r="E28" s="6" t="str">
        <f>TEXT(Table3[[#This Row],[Date]],"mmm-yy")</f>
        <v>Apr-25</v>
      </c>
      <c r="F28" s="56">
        <f>DAY(EOMONTH(Table3[[#This Row],[Month Year]],0))</f>
        <v>30</v>
      </c>
      <c r="G28" s="58">
        <f t="shared" si="2"/>
        <v>45769</v>
      </c>
      <c r="H28" s="17">
        <f>'Modelling New'!$AR$1</f>
        <v>8.0208999999999993</v>
      </c>
      <c r="I28" s="88">
        <v>0.25</v>
      </c>
      <c r="J28" s="88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79">
        <f>SUM(Table3[[#This Row],[Inv1_U1]:[Inv1_U4]])</f>
        <v>11509.3</v>
      </c>
      <c r="X28" s="80">
        <f>SUM(Table3[[#This Row],[Inv2_U1]:[Inv2_U4]])</f>
        <v>11150.3</v>
      </c>
      <c r="Y28" s="81">
        <f>SUM(Table3[[#This Row],[Inv3_U1]:[Inv3_U4]])</f>
        <v>11671.7</v>
      </c>
      <c r="Z28" s="59">
        <v>88287.95</v>
      </c>
      <c r="AA28" s="59">
        <v>398.45</v>
      </c>
      <c r="AB28" s="56"/>
      <c r="AC28" s="77">
        <v>5.79</v>
      </c>
      <c r="AD28" s="78">
        <v>0</v>
      </c>
      <c r="AE28" s="77">
        <v>46.12</v>
      </c>
      <c r="AF28" s="77">
        <v>0</v>
      </c>
      <c r="AG28" s="77">
        <v>0</v>
      </c>
      <c r="AH28" s="56"/>
      <c r="AI28" s="16">
        <f>SUM(Table3[[#This Row],[Inv1]:[Inv3]])</f>
        <v>34331.300000000003</v>
      </c>
      <c r="AJ28" s="16">
        <f>IF((Table3[[#This Row],[33 kV Outgoinng Export Reading]]-Z27)*1000&gt;0,(Table3[[#This Row],[33 kV Outgoinng Export Reading]]-Z27)*1000,0)</f>
        <v>34000</v>
      </c>
      <c r="AK28" s="16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67">
        <f t="shared" si="3"/>
        <v>12.5</v>
      </c>
      <c r="AN28" s="67"/>
      <c r="AO28" t="s">
        <v>1177</v>
      </c>
    </row>
    <row r="29" spans="1:41" x14ac:dyDescent="0.3">
      <c r="A29" s="56">
        <f>YEAR(Table3[[#This Row],[Date]])+IF(MONTH(Table3[[#This Row],[Date]])&gt;=4,1,0)</f>
        <v>2026</v>
      </c>
      <c r="B29" s="56">
        <f>YEAR(Table3[[#This Row],[Date]])</f>
        <v>2025</v>
      </c>
      <c r="C29" s="56" t="s">
        <v>1070</v>
      </c>
      <c r="D29" s="56" t="s">
        <v>1070</v>
      </c>
      <c r="E29" s="6" t="str">
        <f>TEXT(Table3[[#This Row],[Date]],"mmm-yy")</f>
        <v>Apr-25</v>
      </c>
      <c r="F29" s="56">
        <f>DAY(EOMONTH(Table3[[#This Row],[Month Year]],0))</f>
        <v>30</v>
      </c>
      <c r="G29" s="58">
        <f t="shared" si="2"/>
        <v>45770</v>
      </c>
      <c r="H29" s="17">
        <f>'Modelling New'!$AR$1</f>
        <v>8.0208999999999993</v>
      </c>
      <c r="I29" s="88">
        <v>0.25069444444444444</v>
      </c>
      <c r="J29" s="88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79">
        <f>SUM(Table3[[#This Row],[Inv1_U1]:[Inv1_U4]])</f>
        <v>11120.3</v>
      </c>
      <c r="X29" s="80">
        <f>SUM(Table3[[#This Row],[Inv2_U1]:[Inv2_U4]])</f>
        <v>10708</v>
      </c>
      <c r="Y29" s="81">
        <f>SUM(Table3[[#This Row],[Inv3_U1]:[Inv3_U4]])</f>
        <v>11233.099999999999</v>
      </c>
      <c r="Z29" s="59">
        <v>88320.65</v>
      </c>
      <c r="AA29" s="59">
        <v>398.55</v>
      </c>
      <c r="AB29" s="56"/>
      <c r="AC29" s="77">
        <v>5.92</v>
      </c>
      <c r="AD29" s="78">
        <v>0</v>
      </c>
      <c r="AE29" s="77">
        <v>47.02</v>
      </c>
      <c r="AF29" s="77">
        <v>0</v>
      </c>
      <c r="AG29" s="77">
        <v>0</v>
      </c>
      <c r="AH29" s="56"/>
      <c r="AI29" s="16">
        <f>SUM(Table3[[#This Row],[Inv1]:[Inv3]])</f>
        <v>33061.399999999994</v>
      </c>
      <c r="AJ29" s="16">
        <f>IF((Table3[[#This Row],[33 kV Outgoinng Export Reading]]-Z28)*1000&gt;0,(Table3[[#This Row],[33 kV Outgoinng Export Reading]]-Z28)*1000,0)</f>
        <v>32699.99999999709</v>
      </c>
      <c r="AK29" s="16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67">
        <f t="shared" si="3"/>
        <v>12.383333333333335</v>
      </c>
      <c r="AN29" s="67"/>
      <c r="AO29" t="s">
        <v>1177</v>
      </c>
    </row>
    <row r="30" spans="1:41" x14ac:dyDescent="0.3">
      <c r="A30" s="56">
        <f>YEAR(Table3[[#This Row],[Date]])+IF(MONTH(Table3[[#This Row],[Date]])&gt;=4,1,0)</f>
        <v>2026</v>
      </c>
      <c r="B30" s="56">
        <f>YEAR(Table3[[#This Row],[Date]])</f>
        <v>2025</v>
      </c>
      <c r="C30" s="56" t="s">
        <v>1070</v>
      </c>
      <c r="D30" s="56" t="s">
        <v>1070</v>
      </c>
      <c r="E30" s="6" t="str">
        <f>TEXT(Table3[[#This Row],[Date]],"mmm-yy")</f>
        <v>Apr-25</v>
      </c>
      <c r="F30" s="56">
        <f>DAY(EOMONTH(Table3[[#This Row],[Month Year]],0))</f>
        <v>30</v>
      </c>
      <c r="G30" s="58">
        <f t="shared" si="2"/>
        <v>45771</v>
      </c>
      <c r="H30" s="17">
        <f>'Modelling New'!$AR$1</f>
        <v>8.0208999999999993</v>
      </c>
      <c r="I30" s="88">
        <v>0.25277777777777777</v>
      </c>
      <c r="J30" s="88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79">
        <v>11985</v>
      </c>
      <c r="X30" s="80">
        <v>11520.7</v>
      </c>
      <c r="Y30" s="81">
        <v>12094.7</v>
      </c>
      <c r="Z30" s="59">
        <v>88355.95</v>
      </c>
      <c r="AA30" s="59">
        <v>398.65</v>
      </c>
      <c r="AB30" s="56"/>
      <c r="AC30" s="77">
        <v>5.6</v>
      </c>
      <c r="AD30" s="78">
        <v>0</v>
      </c>
      <c r="AE30" s="77">
        <v>46.38</v>
      </c>
      <c r="AF30" s="77">
        <v>0</v>
      </c>
      <c r="AG30" s="77">
        <v>0</v>
      </c>
      <c r="AH30" s="56"/>
      <c r="AI30" s="16">
        <f>SUM(Table3[[#This Row],[Inv1]:[Inv3]])</f>
        <v>35600.400000000001</v>
      </c>
      <c r="AJ30" s="16">
        <f>IF((Table3[[#This Row],[33 kV Outgoinng Export Reading]]-Z29)*1000&gt;0,(Table3[[#This Row],[33 kV Outgoinng Export Reading]]-Z29)*1000,0)</f>
        <v>35300.00000000291</v>
      </c>
      <c r="AK30" s="16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67">
        <f t="shared" si="3"/>
        <v>12.233333333333333</v>
      </c>
      <c r="AN30" s="67"/>
      <c r="AO30" t="s">
        <v>1177</v>
      </c>
    </row>
    <row r="31" spans="1:41" x14ac:dyDescent="0.3">
      <c r="A31" s="56">
        <f>YEAR(Table3[[#This Row],[Date]])+IF(MONTH(Table3[[#This Row],[Date]])&gt;=4,1,0)</f>
        <v>2026</v>
      </c>
      <c r="B31" s="56">
        <f>YEAR(Table3[[#This Row],[Date]])</f>
        <v>2025</v>
      </c>
      <c r="C31" s="56" t="s">
        <v>1070</v>
      </c>
      <c r="D31" s="56" t="s">
        <v>1070</v>
      </c>
      <c r="E31" s="6" t="str">
        <f>TEXT(Table3[[#This Row],[Date]],"mmm-yy")</f>
        <v>Apr-25</v>
      </c>
      <c r="F31" s="56">
        <f>DAY(EOMONTH(Table3[[#This Row],[Month Year]],0))</f>
        <v>30</v>
      </c>
      <c r="G31" s="58">
        <f t="shared" si="2"/>
        <v>45772</v>
      </c>
      <c r="H31" s="17">
        <f>'Modelling New'!$AR$1</f>
        <v>8.0208999999999993</v>
      </c>
      <c r="I31" s="88">
        <v>0.25347222222222221</v>
      </c>
      <c r="J31" s="88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79">
        <f>SUM(Table3[[#This Row],[Inv1_U1]:[Inv1_U4]])</f>
        <v>10804</v>
      </c>
      <c r="X31" s="80">
        <f>SUM(Table3[[#This Row],[Inv2_U1]:[Inv2_U4]])</f>
        <v>10401</v>
      </c>
      <c r="Y31" s="81">
        <f>SUM(Table3[[#This Row],[Inv3_U1]:[Inv3_U4]])</f>
        <v>10876</v>
      </c>
      <c r="Z31" s="59">
        <v>88387.75</v>
      </c>
      <c r="AA31" s="59">
        <v>398.75</v>
      </c>
      <c r="AB31" s="56"/>
      <c r="AC31" s="77">
        <v>5.72</v>
      </c>
      <c r="AD31" s="78">
        <v>0</v>
      </c>
      <c r="AE31" s="77">
        <v>46.34</v>
      </c>
      <c r="AF31" s="77">
        <v>0</v>
      </c>
      <c r="AG31" s="77">
        <v>0</v>
      </c>
      <c r="AH31" s="56"/>
      <c r="AI31" s="16">
        <f>SUM(Table3[[#This Row],[Inv1]:[Inv3]])</f>
        <v>32081</v>
      </c>
      <c r="AJ31" s="16">
        <f>IF((Table3[[#This Row],[33 kV Outgoinng Export Reading]]-Z30)*1000&gt;0,(Table3[[#This Row],[33 kV Outgoinng Export Reading]]-Z30)*1000,0)</f>
        <v>31800.00000000291</v>
      </c>
      <c r="AK31" s="16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67">
        <f t="shared" si="3"/>
        <v>12.083333333333332</v>
      </c>
      <c r="AN31" s="67"/>
      <c r="AO31" t="s">
        <v>1177</v>
      </c>
    </row>
    <row r="32" spans="1:41" x14ac:dyDescent="0.3">
      <c r="A32" s="56">
        <f>YEAR(Table3[[#This Row],[Date]])+IF(MONTH(Table3[[#This Row],[Date]])&gt;=4,1,0)</f>
        <v>2026</v>
      </c>
      <c r="B32" s="56">
        <f>YEAR(Table3[[#This Row],[Date]])</f>
        <v>2025</v>
      </c>
      <c r="C32" s="56" t="s">
        <v>1070</v>
      </c>
      <c r="D32" s="56" t="s">
        <v>1070</v>
      </c>
      <c r="E32" s="6" t="str">
        <f>TEXT(Table3[[#This Row],[Date]],"mmm-yy")</f>
        <v>Apr-25</v>
      </c>
      <c r="F32" s="56">
        <f>DAY(EOMONTH(Table3[[#This Row],[Month Year]],0))</f>
        <v>30</v>
      </c>
      <c r="G32" s="58">
        <f t="shared" si="2"/>
        <v>45773</v>
      </c>
      <c r="H32" s="17">
        <f>'Modelling New'!$AR$1</f>
        <v>8.0208999999999993</v>
      </c>
      <c r="I32" s="88">
        <v>0.25</v>
      </c>
      <c r="J32" s="88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79">
        <f>SUM(Table3[[#This Row],[Inv1_U1]:[Inv1_U4]])</f>
        <v>12514.1</v>
      </c>
      <c r="X32" s="80">
        <f>SUM(Table3[[#This Row],[Inv2_U1]:[Inv2_U4]])</f>
        <v>12075.8</v>
      </c>
      <c r="Y32" s="81">
        <f>SUM(Table3[[#This Row],[Inv3_U1]:[Inv3_U4]])</f>
        <v>12643.3</v>
      </c>
      <c r="Z32" s="59">
        <v>88424.65</v>
      </c>
      <c r="AA32" s="59">
        <v>398.8</v>
      </c>
      <c r="AB32" s="56"/>
      <c r="AC32" s="77">
        <v>5.2</v>
      </c>
      <c r="AD32" s="78">
        <v>0</v>
      </c>
      <c r="AE32" s="77">
        <v>45.56</v>
      </c>
      <c r="AF32" s="77">
        <v>0</v>
      </c>
      <c r="AG32" s="77">
        <v>0</v>
      </c>
      <c r="AH32" s="56"/>
      <c r="AI32" s="16">
        <f>SUM(Table3[[#This Row],[Inv1]:[Inv3]])</f>
        <v>37233.199999999997</v>
      </c>
      <c r="AJ32" s="16">
        <f>IF((Table3[[#This Row],[33 kV Outgoinng Export Reading]]-Z31)*1000&gt;0,(Table3[[#This Row],[33 kV Outgoinng Export Reading]]-Z31)*1000,0)</f>
        <v>36899.999999994179</v>
      </c>
      <c r="AK32" s="16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67">
        <f t="shared" si="3"/>
        <v>12.416666666666668</v>
      </c>
      <c r="AN32" s="67"/>
      <c r="AO32" t="s">
        <v>1177</v>
      </c>
    </row>
    <row r="33" spans="1:41" x14ac:dyDescent="0.3">
      <c r="A33" s="56">
        <f>YEAR(Table3[[#This Row],[Date]])+IF(MONTH(Table3[[#This Row],[Date]])&gt;=4,1,0)</f>
        <v>2026</v>
      </c>
      <c r="B33" s="56">
        <f>YEAR(Table3[[#This Row],[Date]])</f>
        <v>2025</v>
      </c>
      <c r="C33" s="56" t="s">
        <v>1070</v>
      </c>
      <c r="D33" s="56" t="s">
        <v>1070</v>
      </c>
      <c r="E33" s="6" t="str">
        <f>TEXT(Table3[[#This Row],[Date]],"mmm-yy")</f>
        <v>Apr-25</v>
      </c>
      <c r="F33" s="56">
        <f>DAY(EOMONTH(Table3[[#This Row],[Month Year]],0))</f>
        <v>30</v>
      </c>
      <c r="G33" s="58">
        <f t="shared" si="2"/>
        <v>45774</v>
      </c>
      <c r="H33" s="17">
        <f>'Modelling New'!$AR$1</f>
        <v>8.0208999999999993</v>
      </c>
      <c r="I33" s="88">
        <v>0.25</v>
      </c>
      <c r="J33" s="88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79">
        <f>SUM(Table3[[#This Row],[Inv1_U1]:[Inv1_U4]])</f>
        <v>9311.2999999999993</v>
      </c>
      <c r="X33" s="80">
        <f>SUM(Table3[[#This Row],[Inv2_U1]:[Inv2_U4]])</f>
        <v>8954.2000000000007</v>
      </c>
      <c r="Y33" s="81">
        <f>SUM(Table3[[#This Row],[Inv3_U1]:[Inv3_U4]])</f>
        <v>9402.7999999999993</v>
      </c>
      <c r="Z33" s="59">
        <v>88452.05</v>
      </c>
      <c r="AA33" s="59">
        <v>398.9</v>
      </c>
      <c r="AB33" s="56"/>
      <c r="AC33" s="77">
        <v>4.6900000000000004</v>
      </c>
      <c r="AD33" s="78">
        <v>0</v>
      </c>
      <c r="AE33" s="77">
        <v>41.92</v>
      </c>
      <c r="AF33" s="77">
        <v>0</v>
      </c>
      <c r="AG33" s="77">
        <v>0</v>
      </c>
      <c r="AH33" s="56"/>
      <c r="AI33" s="16">
        <f>SUM(Table3[[#This Row],[Inv1]:[Inv3]])</f>
        <v>27668.3</v>
      </c>
      <c r="AJ33" s="16">
        <f>IF((Table3[[#This Row],[33 kV Outgoinng Export Reading]]-Z32)*1000&gt;0,(Table3[[#This Row],[33 kV Outgoinng Export Reading]]-Z32)*1000,0)</f>
        <v>27400.000000008731</v>
      </c>
      <c r="AK33" s="16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67">
        <f t="shared" si="3"/>
        <v>12.55</v>
      </c>
      <c r="AN33" s="67"/>
      <c r="AO33" t="s">
        <v>1177</v>
      </c>
    </row>
    <row r="34" spans="1:41" x14ac:dyDescent="0.3">
      <c r="A34" s="56">
        <f>YEAR(Table3[[#This Row],[Date]])+IF(MONTH(Table3[[#This Row],[Date]])&gt;=4,1,0)</f>
        <v>2026</v>
      </c>
      <c r="B34" s="56">
        <f>YEAR(Table3[[#This Row],[Date]])</f>
        <v>2025</v>
      </c>
      <c r="C34" s="56" t="s">
        <v>1070</v>
      </c>
      <c r="D34" s="56" t="s">
        <v>1070</v>
      </c>
      <c r="E34" s="6" t="str">
        <f>TEXT(Table3[[#This Row],[Date]],"mmm-yy")</f>
        <v>Apr-25</v>
      </c>
      <c r="F34" s="56">
        <f>DAY(EOMONTH(Table3[[#This Row],[Month Year]],0))</f>
        <v>30</v>
      </c>
      <c r="G34" s="58">
        <f t="shared" si="2"/>
        <v>45775</v>
      </c>
      <c r="H34" s="17">
        <f>'Modelling New'!$AR$1</f>
        <v>8.0208999999999993</v>
      </c>
      <c r="I34" s="88">
        <v>0.25</v>
      </c>
      <c r="J34" s="88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79">
        <f>SUM(Table3[[#This Row],[Inv1_U1]:[Inv1_U4]])</f>
        <v>13697.800000000001</v>
      </c>
      <c r="X34" s="80">
        <f>SUM(Table3[[#This Row],[Inv2_U1]:[Inv2_U4]])</f>
        <v>13167.6</v>
      </c>
      <c r="Y34" s="81">
        <f>SUM(Table3[[#This Row],[Inv3_U1]:[Inv3_U4]])</f>
        <v>13869.9</v>
      </c>
      <c r="Z34" s="59">
        <v>88492.45</v>
      </c>
      <c r="AA34" s="59">
        <v>399</v>
      </c>
      <c r="AB34" s="56"/>
      <c r="AC34" s="77">
        <v>6.33</v>
      </c>
      <c r="AD34" s="78">
        <v>0</v>
      </c>
      <c r="AE34" s="77">
        <v>44.84</v>
      </c>
      <c r="AF34" s="77">
        <v>0</v>
      </c>
      <c r="AG34" s="77">
        <v>0</v>
      </c>
      <c r="AH34" s="56"/>
      <c r="AI34" s="16">
        <f>SUM(Table3[[#This Row],[Inv1]:[Inv3]])</f>
        <v>40735.300000000003</v>
      </c>
      <c r="AJ34" s="16">
        <f>IF((Table3[[#This Row],[33 kV Outgoinng Export Reading]]-Z33)*1000&gt;0,(Table3[[#This Row],[33 kV Outgoinng Export Reading]]-Z33)*1000,0)</f>
        <v>40399.999999994179</v>
      </c>
      <c r="AK34" s="16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67">
        <f t="shared" si="3"/>
        <v>12.633333333333333</v>
      </c>
      <c r="AN34" s="67"/>
      <c r="AO34" t="s">
        <v>1177</v>
      </c>
    </row>
    <row r="35" spans="1:41" x14ac:dyDescent="0.3">
      <c r="A35" s="56">
        <f>YEAR(Table3[[#This Row],[Date]])+IF(MONTH(Table3[[#This Row],[Date]])&gt;=4,1,0)</f>
        <v>2026</v>
      </c>
      <c r="B35" s="56">
        <f>YEAR(Table3[[#This Row],[Date]])</f>
        <v>2025</v>
      </c>
      <c r="C35" s="56" t="s">
        <v>1070</v>
      </c>
      <c r="D35" s="56" t="s">
        <v>1070</v>
      </c>
      <c r="E35" s="6" t="str">
        <f>TEXT(Table3[[#This Row],[Date]],"mmm-yy")</f>
        <v>Apr-25</v>
      </c>
      <c r="F35" s="56">
        <f>DAY(EOMONTH(Table3[[#This Row],[Month Year]],0))</f>
        <v>30</v>
      </c>
      <c r="G35" s="58">
        <f t="shared" si="2"/>
        <v>45776</v>
      </c>
      <c r="H35" s="17">
        <f>'Modelling New'!$AR$1</f>
        <v>8.0208999999999993</v>
      </c>
      <c r="I35" s="88">
        <v>0.25208333333333333</v>
      </c>
      <c r="J35" s="88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79">
        <f>SUM(Table3[[#This Row],[Inv1_U1]:[Inv1_U4]])</f>
        <v>11647.5</v>
      </c>
      <c r="X35" s="80">
        <f>SUM(Table3[[#This Row],[Inv2_U1]:[Inv2_U4]])</f>
        <v>10926.8</v>
      </c>
      <c r="Y35" s="81">
        <f>SUM(Table3[[#This Row],[Inv3_U1]:[Inv3_U4]])</f>
        <v>11748.099999999999</v>
      </c>
      <c r="Z35" s="59">
        <v>88526.5</v>
      </c>
      <c r="AA35" s="59">
        <v>399.1</v>
      </c>
      <c r="AB35" s="56"/>
      <c r="AC35" s="77">
        <v>5.62</v>
      </c>
      <c r="AD35" s="78">
        <v>0</v>
      </c>
      <c r="AE35" s="77">
        <v>44.35</v>
      </c>
      <c r="AF35" s="77">
        <v>0</v>
      </c>
      <c r="AG35" s="77">
        <v>0</v>
      </c>
      <c r="AH35" s="56"/>
      <c r="AI35" s="16">
        <f>SUM(Table3[[#This Row],[Inv1]:[Inv3]])</f>
        <v>34322.399999999994</v>
      </c>
      <c r="AJ35" s="16">
        <f>IF((Table3[[#This Row],[33 kV Outgoinng Export Reading]]-Z34)*1000&gt;0,(Table3[[#This Row],[33 kV Outgoinng Export Reading]]-Z34)*1000,0)</f>
        <v>34050.00000000291</v>
      </c>
      <c r="AK35" s="16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67">
        <f t="shared" si="3"/>
        <v>12.600000000000001</v>
      </c>
      <c r="AN35" s="67"/>
      <c r="AO35" t="s">
        <v>1177</v>
      </c>
    </row>
    <row r="36" spans="1:41" x14ac:dyDescent="0.3">
      <c r="A36" s="56">
        <f>YEAR(Table3[[#This Row],[Date]])+IF(MONTH(Table3[[#This Row],[Date]])&gt;=4,1,0)</f>
        <v>2026</v>
      </c>
      <c r="B36" s="56">
        <f>YEAR(Table3[[#This Row],[Date]])</f>
        <v>2025</v>
      </c>
      <c r="C36" s="56" t="s">
        <v>1070</v>
      </c>
      <c r="D36" s="56" t="s">
        <v>1070</v>
      </c>
      <c r="E36" s="6" t="str">
        <f>TEXT(Table3[[#This Row],[Date]],"mmm-yy")</f>
        <v>Apr-25</v>
      </c>
      <c r="F36" s="56">
        <f>DAY(EOMONTH(Table3[[#This Row],[Month Year]],0))</f>
        <v>30</v>
      </c>
      <c r="G36" s="58">
        <f t="shared" si="2"/>
        <v>45777</v>
      </c>
      <c r="H36" s="17">
        <f>'Modelling New'!$AR$1</f>
        <v>8.0208999999999993</v>
      </c>
      <c r="I36" s="88">
        <v>0.25</v>
      </c>
      <c r="J36" s="88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79">
        <f>SUM(Table3[[#This Row],[Inv1_U1]:[Inv1_U4]])</f>
        <v>13521.5</v>
      </c>
      <c r="X36" s="80">
        <f>SUM(Table3[[#This Row],[Inv2_U1]:[Inv2_U4]])</f>
        <v>12988.1</v>
      </c>
      <c r="Y36" s="81">
        <f>SUM(Table3[[#This Row],[Inv3_U1]:[Inv3_U4]])</f>
        <v>13583.9</v>
      </c>
      <c r="Z36" s="59">
        <v>88566.25</v>
      </c>
      <c r="AA36" s="59">
        <v>399.2</v>
      </c>
      <c r="AB36" s="56"/>
      <c r="AC36" s="77">
        <v>5.77</v>
      </c>
      <c r="AD36" s="78">
        <v>0</v>
      </c>
      <c r="AE36" s="77">
        <v>46.33</v>
      </c>
      <c r="AF36" s="77">
        <v>0</v>
      </c>
      <c r="AG36" s="77">
        <v>0</v>
      </c>
      <c r="AH36" s="56"/>
      <c r="AI36" s="16">
        <f>SUM(Table3[[#This Row],[Inv1]:[Inv3]])</f>
        <v>40093.5</v>
      </c>
      <c r="AJ36" s="16">
        <f>IF((Table3[[#This Row],[33 kV Outgoinng Export Reading]]-Z35)*1000&gt;0,(Table3[[#This Row],[33 kV Outgoinng Export Reading]]-Z35)*1000,0)</f>
        <v>39750</v>
      </c>
      <c r="AK36" s="16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67">
        <f t="shared" si="3"/>
        <v>12.600000000000001</v>
      </c>
      <c r="AN36" s="67"/>
      <c r="AO36" t="s">
        <v>1177</v>
      </c>
    </row>
    <row r="37" spans="1:41" x14ac:dyDescent="0.3">
      <c r="A37" s="56">
        <f>YEAR(Table3[[#This Row],[Date]])+IF(MONTH(Table3[[#This Row],[Date]])&gt;=4,1,0)</f>
        <v>2026</v>
      </c>
      <c r="B37" s="56">
        <f>YEAR(Table3[[#This Row],[Date]])</f>
        <v>2025</v>
      </c>
      <c r="C37" s="56" t="s">
        <v>1070</v>
      </c>
      <c r="D37" s="56" t="s">
        <v>1070</v>
      </c>
      <c r="E37" s="6" t="str">
        <f>TEXT(Table3[[#This Row],[Date]],"mmm-yy")</f>
        <v>May-25</v>
      </c>
      <c r="F37" s="56">
        <f>DAY(EOMONTH(Table3[[#This Row],[Month Year]],0))</f>
        <v>31</v>
      </c>
      <c r="G37" s="58">
        <f t="shared" si="2"/>
        <v>45778</v>
      </c>
      <c r="H37" s="17">
        <f>'Modelling New'!$AR$1</f>
        <v>8.0208999999999993</v>
      </c>
      <c r="I37" s="88">
        <v>0.25069444444444444</v>
      </c>
      <c r="J37" s="88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79">
        <f>SUM(Table3[[#This Row],[Inv1_U1]:[Inv1_U4]])</f>
        <v>12732.3</v>
      </c>
      <c r="X37" s="80">
        <f>SUM(Table3[[#This Row],[Inv2_U1]:[Inv2_U4]])</f>
        <v>12262.300000000001</v>
      </c>
      <c r="Y37" s="81">
        <f>SUM(Table3[[#This Row],[Inv3_U1]:[Inv3_U4]])</f>
        <v>12807.800000000001</v>
      </c>
      <c r="Z37" s="59">
        <v>88603.7</v>
      </c>
      <c r="AA37" s="59">
        <v>399.3</v>
      </c>
      <c r="AB37" s="56"/>
      <c r="AC37" s="77">
        <v>5.52</v>
      </c>
      <c r="AD37" s="78">
        <v>0</v>
      </c>
      <c r="AE37" s="77">
        <v>45.19</v>
      </c>
      <c r="AF37" s="77">
        <v>0</v>
      </c>
      <c r="AG37" s="77">
        <v>0</v>
      </c>
      <c r="AH37" s="56"/>
      <c r="AI37" s="16">
        <f>SUM(Table3[[#This Row],[Inv1]:[Inv3]])</f>
        <v>37802.400000000001</v>
      </c>
      <c r="AJ37" s="16">
        <f>IF((Table3[[#This Row],[33 kV Outgoinng Export Reading]]-Z36)*1000&gt;0,(Table3[[#This Row],[33 kV Outgoinng Export Reading]]-Z36)*1000,0)</f>
        <v>37449.99999999709</v>
      </c>
      <c r="AK37" s="16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67">
        <f t="shared" si="3"/>
        <v>12.633333333333333</v>
      </c>
      <c r="AN37" s="67"/>
      <c r="AO37" t="s">
        <v>1177</v>
      </c>
    </row>
    <row r="38" spans="1:41" x14ac:dyDescent="0.3">
      <c r="A38" s="56">
        <f>YEAR(Table3[[#This Row],[Date]])+IF(MONTH(Table3[[#This Row],[Date]])&gt;=4,1,0)</f>
        <v>2026</v>
      </c>
      <c r="B38" s="56">
        <f>YEAR(Table3[[#This Row],[Date]])</f>
        <v>2025</v>
      </c>
      <c r="C38" s="56" t="s">
        <v>1070</v>
      </c>
      <c r="D38" s="56" t="s">
        <v>1070</v>
      </c>
      <c r="E38" s="6" t="str">
        <f>TEXT(Table3[[#This Row],[Date]],"mmm-yy")</f>
        <v>May-25</v>
      </c>
      <c r="F38" s="56">
        <f>DAY(EOMONTH(Table3[[#This Row],[Month Year]],0))</f>
        <v>31</v>
      </c>
      <c r="G38" s="58">
        <f t="shared" si="2"/>
        <v>45779</v>
      </c>
      <c r="H38" s="17">
        <f>'Modelling New'!$AR$1</f>
        <v>8.0208999999999993</v>
      </c>
      <c r="I38" s="88">
        <v>0.25069444444444444</v>
      </c>
      <c r="J38" s="88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79">
        <f>SUM(Table3[[#This Row],[Inv1_U1]:[Inv1_U4]])</f>
        <v>10568.3</v>
      </c>
      <c r="X38" s="80">
        <f>SUM(Table3[[#This Row],[Inv2_U1]:[Inv2_U4]])</f>
        <v>10177.700000000001</v>
      </c>
      <c r="Y38" s="81">
        <f>SUM(Table3[[#This Row],[Inv3_U1]:[Inv3_U4]])</f>
        <v>10601.7</v>
      </c>
      <c r="Z38" s="59">
        <v>88634.75</v>
      </c>
      <c r="AA38" s="59">
        <v>399.4</v>
      </c>
      <c r="AB38" s="56"/>
      <c r="AC38" s="77">
        <v>6.17</v>
      </c>
      <c r="AD38" s="78">
        <v>0</v>
      </c>
      <c r="AE38" s="77">
        <v>45.19</v>
      </c>
      <c r="AF38" s="77">
        <v>0</v>
      </c>
      <c r="AG38" s="77">
        <v>0</v>
      </c>
      <c r="AH38" s="56"/>
      <c r="AI38" s="16">
        <f>SUM(Table3[[#This Row],[Inv1]:[Inv3]])</f>
        <v>31347.7</v>
      </c>
      <c r="AJ38" s="16">
        <f>IF((Table3[[#This Row],[33 kV Outgoinng Export Reading]]-Z37)*1000&gt;0,(Table3[[#This Row],[33 kV Outgoinng Export Reading]]-Z37)*1000,0)</f>
        <v>31050.00000000291</v>
      </c>
      <c r="AK38" s="16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67">
        <f t="shared" si="3"/>
        <v>12.600000000000001</v>
      </c>
      <c r="AN38" s="67"/>
      <c r="AO38" t="s">
        <v>1177</v>
      </c>
    </row>
    <row r="39" spans="1:41" x14ac:dyDescent="0.3">
      <c r="A39" s="56">
        <f>YEAR(Table3[[#This Row],[Date]])+IF(MONTH(Table3[[#This Row],[Date]])&gt;=4,1,0)</f>
        <v>2026</v>
      </c>
      <c r="B39" s="56">
        <f>YEAR(Table3[[#This Row],[Date]])</f>
        <v>2025</v>
      </c>
      <c r="C39" s="56" t="s">
        <v>1070</v>
      </c>
      <c r="D39" s="56" t="s">
        <v>1070</v>
      </c>
      <c r="E39" s="6" t="str">
        <f>TEXT(Table3[[#This Row],[Date]],"mmm-yy")</f>
        <v>May-25</v>
      </c>
      <c r="F39" s="56">
        <f>DAY(EOMONTH(Table3[[#This Row],[Month Year]],0))</f>
        <v>31</v>
      </c>
      <c r="G39" s="58">
        <f t="shared" si="2"/>
        <v>45780</v>
      </c>
      <c r="H39" s="17">
        <f>'Modelling New'!$AR$1</f>
        <v>8.0208999999999993</v>
      </c>
      <c r="I39" s="88">
        <v>0.25486111111111109</v>
      </c>
      <c r="J39" s="88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79">
        <v>13010.099999999999</v>
      </c>
      <c r="X39" s="80">
        <v>12550.8</v>
      </c>
      <c r="Y39" s="81">
        <v>13112</v>
      </c>
      <c r="Z39" s="59">
        <v>88673.1</v>
      </c>
      <c r="AA39" s="59">
        <v>399.5</v>
      </c>
      <c r="AB39" s="56"/>
      <c r="AC39" s="77">
        <v>5.93</v>
      </c>
      <c r="AD39" s="78">
        <v>0</v>
      </c>
      <c r="AE39" s="77">
        <v>45.51</v>
      </c>
      <c r="AF39" s="77">
        <v>0</v>
      </c>
      <c r="AG39" s="77">
        <v>0</v>
      </c>
      <c r="AH39" s="56"/>
      <c r="AI39" s="16">
        <f>SUM(Table3[[#This Row],[Inv1]:[Inv3]])</f>
        <v>38672.899999999994</v>
      </c>
      <c r="AJ39" s="16">
        <f>IF((Table3[[#This Row],[33 kV Outgoinng Export Reading]]-Z38)*1000&gt;0,(Table3[[#This Row],[33 kV Outgoinng Export Reading]]-Z38)*1000,0)</f>
        <v>38350.000000005821</v>
      </c>
      <c r="AK39" s="16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67">
        <f t="shared" si="3"/>
        <v>12.583333333333334</v>
      </c>
      <c r="AN39" s="67"/>
      <c r="AO39" t="s">
        <v>1177</v>
      </c>
    </row>
    <row r="40" spans="1:41" x14ac:dyDescent="0.3">
      <c r="A40" s="56">
        <f>YEAR(Table3[[#This Row],[Date]])+IF(MONTH(Table3[[#This Row],[Date]])&gt;=4,1,0)</f>
        <v>2026</v>
      </c>
      <c r="B40" s="56">
        <f>YEAR(Table3[[#This Row],[Date]])</f>
        <v>2025</v>
      </c>
      <c r="C40" s="56" t="s">
        <v>1070</v>
      </c>
      <c r="D40" s="56" t="s">
        <v>1070</v>
      </c>
      <c r="E40" s="6" t="str">
        <f>TEXT(Table3[[#This Row],[Date]],"mmm-yy")</f>
        <v>May-25</v>
      </c>
      <c r="F40" s="56">
        <f>DAY(EOMONTH(Table3[[#This Row],[Month Year]],0))</f>
        <v>31</v>
      </c>
      <c r="G40" s="58">
        <f t="shared" si="2"/>
        <v>45781</v>
      </c>
      <c r="H40" s="17">
        <f>'Modelling New'!$AR$1</f>
        <v>8.0208999999999993</v>
      </c>
      <c r="I40" s="88">
        <v>0.24930555555555556</v>
      </c>
      <c r="J40" s="88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79">
        <f>SUM(Table3[[#This Row],[Inv1_U1]:[Inv1_U4]])</f>
        <v>7000.1</v>
      </c>
      <c r="X40" s="80">
        <f>SUM(Table3[[#This Row],[Inv2_U1]:[Inv2_U4]])</f>
        <v>6681.2</v>
      </c>
      <c r="Y40" s="81">
        <f>SUM(Table3[[#This Row],[Inv3_U1]:[Inv3_U4]])</f>
        <v>7096.7000000000007</v>
      </c>
      <c r="Z40" s="59">
        <v>88693.7</v>
      </c>
      <c r="AA40" s="59">
        <v>399.6</v>
      </c>
      <c r="AB40" s="56"/>
      <c r="AC40" s="77">
        <v>5.27</v>
      </c>
      <c r="AD40" s="78">
        <v>0</v>
      </c>
      <c r="AE40" s="77">
        <v>42.88</v>
      </c>
      <c r="AF40" s="77">
        <v>0</v>
      </c>
      <c r="AG40" s="77">
        <v>0</v>
      </c>
      <c r="AH40" s="56"/>
      <c r="AI40" s="16">
        <f>SUM(Table3[[#This Row],[Inv1]:[Inv3]])</f>
        <v>20778</v>
      </c>
      <c r="AJ40" s="16">
        <f>IF((Table3[[#This Row],[33 kV Outgoinng Export Reading]]-Z39)*1000&gt;0,(Table3[[#This Row],[33 kV Outgoinng Export Reading]]-Z39)*1000,0)</f>
        <v>20599.999999991269</v>
      </c>
      <c r="AK40" s="16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67">
        <f t="shared" si="3"/>
        <v>12.716666666666667</v>
      </c>
      <c r="AN40" s="67"/>
      <c r="AO40" t="s">
        <v>1177</v>
      </c>
    </row>
    <row r="41" spans="1:41" x14ac:dyDescent="0.3">
      <c r="A41" s="56">
        <f>YEAR(Table3[[#This Row],[Date]])+IF(MONTH(Table3[[#This Row],[Date]])&gt;=4,1,0)</f>
        <v>2026</v>
      </c>
      <c r="B41" s="56">
        <f>YEAR(Table3[[#This Row],[Date]])</f>
        <v>2025</v>
      </c>
      <c r="C41" s="56" t="s">
        <v>1070</v>
      </c>
      <c r="D41" s="56" t="s">
        <v>1070</v>
      </c>
      <c r="E41" s="6" t="str">
        <f>TEXT(Table3[[#This Row],[Date]],"mmm-yy")</f>
        <v>May-25</v>
      </c>
      <c r="F41" s="56">
        <f>DAY(EOMONTH(Table3[[#This Row],[Month Year]],0))</f>
        <v>31</v>
      </c>
      <c r="G41" s="58">
        <f t="shared" si="2"/>
        <v>45782</v>
      </c>
      <c r="H41" s="17">
        <f>'Modelling New'!$AR$1</f>
        <v>8.0208999999999993</v>
      </c>
      <c r="I41" s="88">
        <v>0.25347222222222221</v>
      </c>
      <c r="J41" s="88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79">
        <f>SUM(Table3[[#This Row],[Inv1_U1]:[Inv1_U4]])</f>
        <v>13755.5</v>
      </c>
      <c r="X41" s="80">
        <f>SUM(Table3[[#This Row],[Inv2_U1]:[Inv2_U4]])</f>
        <v>13212.099999999999</v>
      </c>
      <c r="Y41" s="81">
        <f>SUM(Table3[[#This Row],[Inv3_U1]:[Inv3_U4]])</f>
        <v>13896.9</v>
      </c>
      <c r="Z41" s="59">
        <v>88734.2</v>
      </c>
      <c r="AA41" s="59">
        <v>399.7</v>
      </c>
      <c r="AB41" s="56"/>
      <c r="AC41" s="77">
        <v>6.52</v>
      </c>
      <c r="AD41" s="78">
        <v>0</v>
      </c>
      <c r="AE41" s="77">
        <v>45.43</v>
      </c>
      <c r="AF41" s="77">
        <v>0</v>
      </c>
      <c r="AG41" s="77">
        <v>0</v>
      </c>
      <c r="AH41" s="56"/>
      <c r="AI41" s="16">
        <f>SUM(Table3[[#This Row],[Inv1]:[Inv3]])</f>
        <v>40864.5</v>
      </c>
      <c r="AJ41" s="16">
        <f>IF((Table3[[#This Row],[33 kV Outgoinng Export Reading]]-Z40)*1000&gt;0,(Table3[[#This Row],[33 kV Outgoinng Export Reading]]-Z40)*1000,0)</f>
        <v>40500</v>
      </c>
      <c r="AK41" s="16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67">
        <f t="shared" si="3"/>
        <v>12.316666666666668</v>
      </c>
      <c r="AN41" s="67"/>
      <c r="AO41" t="s">
        <v>1177</v>
      </c>
    </row>
    <row r="42" spans="1:41" x14ac:dyDescent="0.3">
      <c r="A42" s="56">
        <f>YEAR(Table3[[#This Row],[Date]])+IF(MONTH(Table3[[#This Row],[Date]])&gt;=4,1,0)</f>
        <v>2026</v>
      </c>
      <c r="B42" s="56">
        <f>YEAR(Table3[[#This Row],[Date]])</f>
        <v>2025</v>
      </c>
      <c r="C42" s="56" t="s">
        <v>1070</v>
      </c>
      <c r="D42" s="56" t="s">
        <v>1070</v>
      </c>
      <c r="E42" s="6" t="str">
        <f>TEXT(Table3[[#This Row],[Date]],"mmm-yy")</f>
        <v>May-25</v>
      </c>
      <c r="F42" s="56">
        <f>DAY(EOMONTH(Table3[[#This Row],[Month Year]],0))</f>
        <v>31</v>
      </c>
      <c r="G42" s="58">
        <f t="shared" si="2"/>
        <v>45783</v>
      </c>
      <c r="H42" s="17">
        <f>'Modelling New'!$AR$1</f>
        <v>8.0208999999999993</v>
      </c>
      <c r="I42" s="88">
        <v>0.25</v>
      </c>
      <c r="J42" s="88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79">
        <f>SUM(Table3[[#This Row],[Inv1_U1]:[Inv1_U4]])</f>
        <v>13094.3</v>
      </c>
      <c r="X42" s="80">
        <f>SUM(Table3[[#This Row],[Inv2_U1]:[Inv2_U4]])</f>
        <v>12635.4</v>
      </c>
      <c r="Y42" s="81">
        <f>SUM(Table3[[#This Row],[Inv3_U1]:[Inv3_U4]])</f>
        <v>13255</v>
      </c>
      <c r="Z42" s="59">
        <v>88772.85</v>
      </c>
      <c r="AA42" s="59">
        <v>399.8</v>
      </c>
      <c r="AB42" s="56"/>
      <c r="AC42" s="77">
        <v>6.2</v>
      </c>
      <c r="AD42" s="78">
        <v>0</v>
      </c>
      <c r="AE42" s="77">
        <v>44.26</v>
      </c>
      <c r="AF42" s="77">
        <v>0</v>
      </c>
      <c r="AG42" s="77">
        <v>0</v>
      </c>
      <c r="AH42" s="56"/>
      <c r="AI42" s="16">
        <f>SUM(Table3[[#This Row],[Inv1]:[Inv3]])</f>
        <v>38984.699999999997</v>
      </c>
      <c r="AJ42" s="16">
        <f>IF((Table3[[#This Row],[33 kV Outgoinng Export Reading]]-Z41)*1000&gt;0,(Table3[[#This Row],[33 kV Outgoinng Export Reading]]-Z41)*1000,0)</f>
        <v>38650.000000008731</v>
      </c>
      <c r="AK42" s="16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67">
        <f t="shared" si="3"/>
        <v>12.5</v>
      </c>
      <c r="AN42" s="67"/>
      <c r="AO42" t="s">
        <v>1177</v>
      </c>
    </row>
    <row r="43" spans="1:41" x14ac:dyDescent="0.3">
      <c r="A43" s="56">
        <f>YEAR(Table3[[#This Row],[Date]])+IF(MONTH(Table3[[#This Row],[Date]])&gt;=4,1,0)</f>
        <v>2026</v>
      </c>
      <c r="B43" s="56">
        <f>YEAR(Table3[[#This Row],[Date]])</f>
        <v>2025</v>
      </c>
      <c r="C43" s="56" t="s">
        <v>1070</v>
      </c>
      <c r="D43" s="56" t="s">
        <v>1070</v>
      </c>
      <c r="E43" s="6" t="str">
        <f>TEXT(Table3[[#This Row],[Date]],"mmm-yy")</f>
        <v>May-25</v>
      </c>
      <c r="F43" s="56">
        <f>DAY(EOMONTH(Table3[[#This Row],[Month Year]],0))</f>
        <v>31</v>
      </c>
      <c r="G43" s="58">
        <f t="shared" si="2"/>
        <v>45784</v>
      </c>
      <c r="H43" s="17">
        <f>'Modelling New'!$AR$1</f>
        <v>8.0208999999999993</v>
      </c>
      <c r="I43" s="88">
        <v>0.24444444444444444</v>
      </c>
      <c r="J43" s="88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79">
        <f>SUM(Table3[[#This Row],[Inv1_U1]:[Inv1_U4]])</f>
        <v>13175.599999999999</v>
      </c>
      <c r="X43" s="80">
        <f>SUM(Table3[[#This Row],[Inv2_U1]:[Inv2_U4]])</f>
        <v>12847.9</v>
      </c>
      <c r="Y43" s="81">
        <f>SUM(Table3[[#This Row],[Inv3_U1]:[Inv3_U4]])</f>
        <v>13425.9</v>
      </c>
      <c r="Z43" s="59">
        <v>88811.95</v>
      </c>
      <c r="AA43" s="59">
        <v>399.9</v>
      </c>
      <c r="AB43" s="56"/>
      <c r="AC43" s="77">
        <v>6.58</v>
      </c>
      <c r="AD43" s="78">
        <v>0</v>
      </c>
      <c r="AE43" s="77">
        <v>43.99</v>
      </c>
      <c r="AF43" s="77">
        <v>0</v>
      </c>
      <c r="AG43" s="77">
        <v>0</v>
      </c>
      <c r="AH43" s="56"/>
      <c r="AI43" s="16">
        <f>SUM(Table3[[#This Row],[Inv1]:[Inv3]])</f>
        <v>39449.4</v>
      </c>
      <c r="AJ43" s="16">
        <f>IF((Table3[[#This Row],[33 kV Outgoinng Export Reading]]-Z42)*1000&gt;0,(Table3[[#This Row],[33 kV Outgoinng Export Reading]]-Z42)*1000,0)</f>
        <v>39099.999999991269</v>
      </c>
      <c r="AK43" s="16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67">
        <f t="shared" si="3"/>
        <v>12.766666666666666</v>
      </c>
      <c r="AN43" s="67"/>
    </row>
    <row r="44" spans="1:41" x14ac:dyDescent="0.3">
      <c r="A44" s="56">
        <f>YEAR(Table3[[#This Row],[Date]])+IF(MONTH(Table3[[#This Row],[Date]])&gt;=4,1,0)</f>
        <v>2026</v>
      </c>
      <c r="B44" s="56">
        <f>YEAR(Table3[[#This Row],[Date]])</f>
        <v>2025</v>
      </c>
      <c r="C44" s="56" t="s">
        <v>1070</v>
      </c>
      <c r="D44" s="56" t="s">
        <v>1070</v>
      </c>
      <c r="E44" s="6" t="str">
        <f>TEXT(Table3[[#This Row],[Date]],"mmm-yy")</f>
        <v>May-25</v>
      </c>
      <c r="F44" s="56">
        <f>DAY(EOMONTH(Table3[[#This Row],[Month Year]],0))</f>
        <v>31</v>
      </c>
      <c r="G44" s="58">
        <f t="shared" si="2"/>
        <v>45785</v>
      </c>
      <c r="H44" s="17">
        <f>'Modelling New'!$AR$1</f>
        <v>8.0208999999999993</v>
      </c>
      <c r="I44" s="88">
        <v>0.25138888888888888</v>
      </c>
      <c r="J44" s="88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79">
        <f>SUM(Table3[[#This Row],[Inv1_U1]:[Inv1_U4]])</f>
        <v>13198.599999999999</v>
      </c>
      <c r="X44" s="80">
        <f>SUM(Table3[[#This Row],[Inv2_U1]:[Inv2_U4]])</f>
        <v>12738.300000000001</v>
      </c>
      <c r="Y44" s="81">
        <f>SUM(Table3[[#This Row],[Inv3_U1]:[Inv3_U4]])</f>
        <v>13435.3</v>
      </c>
      <c r="Z44" s="59">
        <v>88851</v>
      </c>
      <c r="AA44" s="59">
        <v>400</v>
      </c>
      <c r="AB44" s="56"/>
      <c r="AC44" s="77">
        <v>6.72</v>
      </c>
      <c r="AD44" s="78">
        <v>0</v>
      </c>
      <c r="AE44" s="77">
        <v>44.03</v>
      </c>
      <c r="AF44" s="77">
        <v>0</v>
      </c>
      <c r="AG44" s="77">
        <v>0</v>
      </c>
      <c r="AH44" s="56"/>
      <c r="AI44" s="16">
        <f>SUM(Table3[[#This Row],[Inv1]:[Inv3]])</f>
        <v>39372.199999999997</v>
      </c>
      <c r="AJ44" s="16">
        <f>IF((Table3[[#This Row],[33 kV Outgoinng Export Reading]]-Z43)*1000&gt;0,(Table3[[#This Row],[33 kV Outgoinng Export Reading]]-Z43)*1000,0)</f>
        <v>39050.00000000291</v>
      </c>
      <c r="AK44" s="16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67">
        <f t="shared" si="3"/>
        <v>12.450000000000001</v>
      </c>
      <c r="AN44" s="67"/>
    </row>
    <row r="45" spans="1:41" x14ac:dyDescent="0.3">
      <c r="A45" s="56">
        <f>YEAR(Table3[[#This Row],[Date]])+IF(MONTH(Table3[[#This Row],[Date]])&gt;=4,1,0)</f>
        <v>2026</v>
      </c>
      <c r="B45" s="56">
        <f>YEAR(Table3[[#This Row],[Date]])</f>
        <v>2025</v>
      </c>
      <c r="C45" s="56" t="s">
        <v>1070</v>
      </c>
      <c r="D45" s="56" t="s">
        <v>1070</v>
      </c>
      <c r="E45" s="6" t="str">
        <f>TEXT(Table3[[#This Row],[Date]],"mmm-yy")</f>
        <v>May-25</v>
      </c>
      <c r="F45" s="56">
        <f>DAY(EOMONTH(Table3[[#This Row],[Month Year]],0))</f>
        <v>31</v>
      </c>
      <c r="G45" s="58">
        <f t="shared" si="2"/>
        <v>45786</v>
      </c>
      <c r="H45" s="17">
        <f>'Modelling New'!$AR$1</f>
        <v>8.0208999999999993</v>
      </c>
      <c r="I45" s="88">
        <v>0.25069444444444444</v>
      </c>
      <c r="J45" s="88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79">
        <f>SUM(Table3[[#This Row],[Inv1_U1]:[Inv1_U4]])</f>
        <v>13171.5</v>
      </c>
      <c r="X45" s="80">
        <f>SUM(Table3[[#This Row],[Inv2_U1]:[Inv2_U4]])</f>
        <v>12625.999999999998</v>
      </c>
      <c r="Y45" s="81">
        <f>SUM(Table3[[#This Row],[Inv3_U1]:[Inv3_U4]])</f>
        <v>13252.199999999999</v>
      </c>
      <c r="Z45" s="59">
        <v>88889.7</v>
      </c>
      <c r="AA45" s="59">
        <v>400.1</v>
      </c>
      <c r="AB45" s="56"/>
      <c r="AC45" s="77">
        <v>6.54</v>
      </c>
      <c r="AD45" s="78">
        <v>0</v>
      </c>
      <c r="AE45" s="77">
        <v>44.38</v>
      </c>
      <c r="AF45" s="77">
        <v>0</v>
      </c>
      <c r="AG45" s="77">
        <v>0</v>
      </c>
      <c r="AH45" s="56"/>
      <c r="AI45" s="16">
        <f>SUM(Table3[[#This Row],[Inv1]:[Inv3]])</f>
        <v>39049.699999999997</v>
      </c>
      <c r="AJ45" s="16">
        <f>IF((Table3[[#This Row],[33 kV Outgoinng Export Reading]]-Z44)*1000&gt;0,(Table3[[#This Row],[33 kV Outgoinng Export Reading]]-Z44)*1000,0)</f>
        <v>38699.99999999709</v>
      </c>
      <c r="AK45" s="16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67">
        <f t="shared" si="3"/>
        <v>12.65</v>
      </c>
      <c r="AN45" s="67"/>
    </row>
    <row r="46" spans="1:41" x14ac:dyDescent="0.3">
      <c r="A46" s="56">
        <f>YEAR(Table3[[#This Row],[Date]])+IF(MONTH(Table3[[#This Row],[Date]])&gt;=4,1,0)</f>
        <v>2026</v>
      </c>
      <c r="B46" s="56">
        <f>YEAR(Table3[[#This Row],[Date]])</f>
        <v>2025</v>
      </c>
      <c r="C46" s="56" t="s">
        <v>1070</v>
      </c>
      <c r="D46" s="56" t="s">
        <v>1070</v>
      </c>
      <c r="E46" s="6" t="str">
        <f>TEXT(Table3[[#This Row],[Date]],"mmm-yy")</f>
        <v>May-25</v>
      </c>
      <c r="F46" s="56">
        <f>DAY(EOMONTH(Table3[[#This Row],[Month Year]],0))</f>
        <v>31</v>
      </c>
      <c r="G46" s="58">
        <f t="shared" si="2"/>
        <v>45787</v>
      </c>
      <c r="H46" s="17">
        <f>'Modelling New'!$AR$1</f>
        <v>8.0208999999999993</v>
      </c>
      <c r="I46" s="88">
        <v>0.25069444444444444</v>
      </c>
      <c r="J46" s="88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79">
        <f>SUM(Table3[[#This Row],[Inv1_U1]:[Inv1_U4]])</f>
        <v>11097</v>
      </c>
      <c r="X46" s="80">
        <f>SUM(Table3[[#This Row],[Inv2_U1]:[Inv2_U4]])</f>
        <v>10805.9</v>
      </c>
      <c r="Y46" s="81">
        <f>SUM(Table3[[#This Row],[Inv3_U1]:[Inv3_U4]])</f>
        <v>11201.4</v>
      </c>
      <c r="Z46" s="59">
        <v>88922.5</v>
      </c>
      <c r="AA46" s="59">
        <v>400.2</v>
      </c>
      <c r="AB46" s="56"/>
      <c r="AC46" s="77">
        <v>4.9800000000000004</v>
      </c>
      <c r="AD46" s="78">
        <v>0</v>
      </c>
      <c r="AE46" s="77">
        <v>42.32</v>
      </c>
      <c r="AF46" s="77">
        <v>0</v>
      </c>
      <c r="AG46" s="77">
        <v>0</v>
      </c>
      <c r="AH46" s="56"/>
      <c r="AI46" s="16">
        <f>SUM(Table3[[#This Row],[Inv1]:[Inv3]])</f>
        <v>33104.300000000003</v>
      </c>
      <c r="AJ46" s="16">
        <f>IF((Table3[[#This Row],[33 kV Outgoinng Export Reading]]-Z45)*1000&gt;0,(Table3[[#This Row],[33 kV Outgoinng Export Reading]]-Z45)*1000,0)</f>
        <v>32800.00000000291</v>
      </c>
      <c r="AK46" s="16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67">
        <f t="shared" si="3"/>
        <v>12.5</v>
      </c>
      <c r="AN46" s="67"/>
    </row>
    <row r="47" spans="1:41" x14ac:dyDescent="0.3">
      <c r="A47" s="56">
        <f>YEAR(Table3[[#This Row],[Date]])+IF(MONTH(Table3[[#This Row],[Date]])&gt;=4,1,0)</f>
        <v>2026</v>
      </c>
      <c r="B47" s="56">
        <f>YEAR(Table3[[#This Row],[Date]])</f>
        <v>2025</v>
      </c>
      <c r="C47" s="56" t="s">
        <v>1070</v>
      </c>
      <c r="D47" s="56" t="s">
        <v>1070</v>
      </c>
      <c r="E47" s="6" t="str">
        <f>TEXT(Table3[[#This Row],[Date]],"mmm-yy")</f>
        <v>May-25</v>
      </c>
      <c r="F47" s="56">
        <f>DAY(EOMONTH(Table3[[#This Row],[Month Year]],0))</f>
        <v>31</v>
      </c>
      <c r="G47" s="58">
        <f t="shared" si="2"/>
        <v>45788</v>
      </c>
      <c r="H47" s="17">
        <f>'Modelling New'!$AR$1</f>
        <v>8.0208999999999993</v>
      </c>
      <c r="I47" s="88">
        <v>0.25</v>
      </c>
      <c r="J47" s="88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79">
        <f>SUM(Table3[[#This Row],[Inv1_U1]:[Inv1_U4]])</f>
        <v>11692</v>
      </c>
      <c r="X47" s="80">
        <f>SUM(Table3[[#This Row],[Inv2_U1]:[Inv2_U4]])</f>
        <v>10869.8</v>
      </c>
      <c r="Y47" s="81">
        <f>SUM(Table3[[#This Row],[Inv3_U1]:[Inv3_U4]])</f>
        <v>11591.5</v>
      </c>
      <c r="Z47" s="59">
        <v>88956.4</v>
      </c>
      <c r="AA47" s="59">
        <v>400.3</v>
      </c>
      <c r="AB47" s="56"/>
      <c r="AC47" s="77">
        <v>5.82</v>
      </c>
      <c r="AD47" s="78">
        <v>0</v>
      </c>
      <c r="AE47" s="77">
        <v>43.47</v>
      </c>
      <c r="AF47" s="77">
        <v>0</v>
      </c>
      <c r="AG47" s="77">
        <v>0</v>
      </c>
      <c r="AH47" s="56"/>
      <c r="AI47" s="16">
        <f>SUM(Table3[[#This Row],[Inv1]:[Inv3]])</f>
        <v>34153.300000000003</v>
      </c>
      <c r="AJ47" s="16">
        <f>IF((Table3[[#This Row],[33 kV Outgoinng Export Reading]]-Z46)*1000&gt;0,(Table3[[#This Row],[33 kV Outgoinng Export Reading]]-Z46)*1000,0)</f>
        <v>33899.999999994179</v>
      </c>
      <c r="AK47" s="16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67">
        <f t="shared" si="3"/>
        <v>12.75</v>
      </c>
      <c r="AN47" s="67"/>
    </row>
    <row r="48" spans="1:41" x14ac:dyDescent="0.3">
      <c r="A48" s="56">
        <f>YEAR(Table3[[#This Row],[Date]])+IF(MONTH(Table3[[#This Row],[Date]])&gt;=4,1,0)</f>
        <v>2026</v>
      </c>
      <c r="B48" s="56">
        <f>YEAR(Table3[[#This Row],[Date]])</f>
        <v>2025</v>
      </c>
      <c r="C48" s="56" t="s">
        <v>1070</v>
      </c>
      <c r="D48" s="56" t="s">
        <v>1070</v>
      </c>
      <c r="E48" s="6" t="str">
        <f>TEXT(Table3[[#This Row],[Date]],"mmm-yy")</f>
        <v>May-25</v>
      </c>
      <c r="F48" s="56">
        <f>DAY(EOMONTH(Table3[[#This Row],[Month Year]],0))</f>
        <v>31</v>
      </c>
      <c r="G48" s="58">
        <f t="shared" si="2"/>
        <v>45789</v>
      </c>
      <c r="H48" s="17">
        <f>'Modelling New'!$AR$1</f>
        <v>8.0208999999999993</v>
      </c>
      <c r="I48" s="88">
        <v>0.24652777777777779</v>
      </c>
      <c r="J48" s="88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79">
        <f>SUM(Table3[[#This Row],[Inv1_U1]:[Inv1_U4]])</f>
        <v>13509.3</v>
      </c>
      <c r="X48" s="80">
        <f>SUM(Table3[[#This Row],[Inv2_U1]:[Inv2_U4]])</f>
        <v>12935.599999999999</v>
      </c>
      <c r="Y48" s="81">
        <f>SUM(Table3[[#This Row],[Inv3_U1]:[Inv3_U4]])</f>
        <v>13540.8</v>
      </c>
      <c r="Z48" s="59">
        <v>88996.1</v>
      </c>
      <c r="AA48" s="59">
        <v>400.4</v>
      </c>
      <c r="AB48" s="56"/>
      <c r="AC48" s="77">
        <v>6.33</v>
      </c>
      <c r="AD48" s="78">
        <v>0</v>
      </c>
      <c r="AE48" s="77">
        <v>44.17</v>
      </c>
      <c r="AF48" s="77">
        <v>0</v>
      </c>
      <c r="AG48" s="77">
        <v>0</v>
      </c>
      <c r="AH48" s="56"/>
      <c r="AI48" s="16">
        <f>SUM(Table3[[#This Row],[Inv1]:[Inv3]])</f>
        <v>39985.699999999997</v>
      </c>
      <c r="AJ48" s="16">
        <f>IF((Table3[[#This Row],[33 kV Outgoinng Export Reading]]-Z47)*1000&gt;0,(Table3[[#This Row],[33 kV Outgoinng Export Reading]]-Z47)*1000,0)</f>
        <v>39700.000000011642</v>
      </c>
      <c r="AK48" s="16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67">
        <f t="shared" si="3"/>
        <v>11.866666666666667</v>
      </c>
      <c r="AN48" s="67"/>
    </row>
    <row r="49" spans="1:40" x14ac:dyDescent="0.3">
      <c r="A49" s="56">
        <f>YEAR(Table3[[#This Row],[Date]])+IF(MONTH(Table3[[#This Row],[Date]])&gt;=4,1,0)</f>
        <v>2026</v>
      </c>
      <c r="B49" s="56">
        <f>YEAR(Table3[[#This Row],[Date]])</f>
        <v>2025</v>
      </c>
      <c r="C49" s="56" t="s">
        <v>1070</v>
      </c>
      <c r="D49" s="56" t="s">
        <v>1070</v>
      </c>
      <c r="E49" s="6" t="str">
        <f>TEXT(Table3[[#This Row],[Date]],"mmm-yy")</f>
        <v>May-25</v>
      </c>
      <c r="F49" s="56">
        <f>DAY(EOMONTH(Table3[[#This Row],[Month Year]],0))</f>
        <v>31</v>
      </c>
      <c r="G49" s="58">
        <f t="shared" si="2"/>
        <v>45790</v>
      </c>
      <c r="H49" s="17">
        <f>'Modelling New'!$AR$1</f>
        <v>8.0208999999999993</v>
      </c>
      <c r="I49" s="88">
        <v>0.24374999999999999</v>
      </c>
      <c r="J49" s="88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79">
        <f>SUM(Table3[[#This Row],[Inv1_U1]:[Inv1_U4]])</f>
        <v>11750.7</v>
      </c>
      <c r="X49" s="80">
        <f>SUM(Table3[[#This Row],[Inv2_U1]:[Inv2_U4]])</f>
        <v>11346.199999999999</v>
      </c>
      <c r="Y49" s="81">
        <f>SUM(Table3[[#This Row],[Inv3_U1]:[Inv3_U4]])</f>
        <v>11835.300000000001</v>
      </c>
      <c r="Z49" s="59">
        <v>89030.7</v>
      </c>
      <c r="AA49" s="59">
        <v>400.5</v>
      </c>
      <c r="AB49" s="56"/>
      <c r="AC49" s="77">
        <v>5.18</v>
      </c>
      <c r="AD49" s="78">
        <v>0</v>
      </c>
      <c r="AE49" s="77">
        <v>42.05</v>
      </c>
      <c r="AF49" s="77">
        <v>0</v>
      </c>
      <c r="AG49" s="77">
        <v>0</v>
      </c>
      <c r="AH49" s="56"/>
      <c r="AI49" s="16">
        <f>SUM(Table3[[#This Row],[Inv1]:[Inv3]])</f>
        <v>34932.200000000004</v>
      </c>
      <c r="AJ49" s="16">
        <f>IF((Table3[[#This Row],[33 kV Outgoinng Export Reading]]-Z48)*1000&gt;0,(Table3[[#This Row],[33 kV Outgoinng Export Reading]]-Z48)*1000,0)</f>
        <v>34599.999999991269</v>
      </c>
      <c r="AK49" s="16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67">
        <f t="shared" si="3"/>
        <v>12.600000000000001</v>
      </c>
      <c r="AN49" s="67"/>
    </row>
    <row r="50" spans="1:40" x14ac:dyDescent="0.3">
      <c r="A50" s="56">
        <f>YEAR(Table3[[#This Row],[Date]])+IF(MONTH(Table3[[#This Row],[Date]])&gt;=4,1,0)</f>
        <v>2026</v>
      </c>
      <c r="B50" s="56">
        <f>YEAR(Table3[[#This Row],[Date]])</f>
        <v>2025</v>
      </c>
      <c r="C50" s="56" t="s">
        <v>1070</v>
      </c>
      <c r="D50" s="56" t="s">
        <v>1070</v>
      </c>
      <c r="E50" s="6" t="str">
        <f>TEXT(Table3[[#This Row],[Date]],"mmm-yy")</f>
        <v>May-25</v>
      </c>
      <c r="F50" s="56">
        <f>DAY(EOMONTH(Table3[[#This Row],[Month Year]],0))</f>
        <v>31</v>
      </c>
      <c r="G50" s="58">
        <f t="shared" si="2"/>
        <v>45791</v>
      </c>
      <c r="H50" s="17">
        <f>'Modelling New'!$AR$1</f>
        <v>8.0208999999999993</v>
      </c>
      <c r="I50" s="88">
        <v>0.24513888888888888</v>
      </c>
      <c r="J50" s="88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79">
        <f>SUM(Table3[[#This Row],[Inv1_U1]:[Inv1_U4]])</f>
        <v>11495.7</v>
      </c>
      <c r="X50" s="80">
        <f>SUM(Table3[[#This Row],[Inv2_U1]:[Inv2_U4]])</f>
        <v>11023.7</v>
      </c>
      <c r="Y50" s="81">
        <f>SUM(Table3[[#This Row],[Inv3_U1]:[Inv3_U4]])</f>
        <v>11696.5</v>
      </c>
      <c r="Z50" s="59">
        <v>89064.6</v>
      </c>
      <c r="AA50" s="59">
        <v>400.6</v>
      </c>
      <c r="AB50" s="56"/>
      <c r="AC50" s="77">
        <v>5.23</v>
      </c>
      <c r="AD50" s="78">
        <v>0</v>
      </c>
      <c r="AE50" s="77">
        <v>41.35</v>
      </c>
      <c r="AF50" s="77">
        <v>0</v>
      </c>
      <c r="AG50" s="77">
        <v>0</v>
      </c>
      <c r="AH50" s="56"/>
      <c r="AI50" s="16">
        <f>SUM(Table3[[#This Row],[Inv1]:[Inv3]])</f>
        <v>34215.9</v>
      </c>
      <c r="AJ50" s="16">
        <f>IF((Table3[[#This Row],[33 kV Outgoinng Export Reading]]-Z49)*1000&gt;0,(Table3[[#This Row],[33 kV Outgoinng Export Reading]]-Z49)*1000,0)</f>
        <v>33900.000000008731</v>
      </c>
      <c r="AK50" s="16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67">
        <f t="shared" si="3"/>
        <v>12.299999999999999</v>
      </c>
      <c r="AN50" s="67"/>
    </row>
    <row r="51" spans="1:40" x14ac:dyDescent="0.3">
      <c r="A51" s="56">
        <f>YEAR(Table3[[#This Row],[Date]])+IF(MONTH(Table3[[#This Row],[Date]])&gt;=4,1,0)</f>
        <v>2026</v>
      </c>
      <c r="B51" s="56">
        <f>YEAR(Table3[[#This Row],[Date]])</f>
        <v>2025</v>
      </c>
      <c r="C51" s="56" t="s">
        <v>1070</v>
      </c>
      <c r="D51" s="56" t="s">
        <v>1070</v>
      </c>
      <c r="E51" s="6" t="str">
        <f>TEXT(Table3[[#This Row],[Date]],"mmm-yy")</f>
        <v>May-25</v>
      </c>
      <c r="F51" s="56">
        <f>DAY(EOMONTH(Table3[[#This Row],[Month Year]],0))</f>
        <v>31</v>
      </c>
      <c r="G51" s="58">
        <f t="shared" si="2"/>
        <v>45792</v>
      </c>
      <c r="H51" s="17">
        <f>'Modelling New'!$AR$1</f>
        <v>8.0208999999999993</v>
      </c>
      <c r="I51" s="88">
        <v>0.26874999999999999</v>
      </c>
      <c r="J51" s="88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79">
        <f>SUM(Table3[[#This Row],[Inv1_U1]:[Inv1_U4]])</f>
        <v>6904.0999999999995</v>
      </c>
      <c r="X51" s="80">
        <f>SUM(Table3[[#This Row],[Inv2_U1]:[Inv2_U4]])</f>
        <v>6061.5</v>
      </c>
      <c r="Y51" s="81">
        <f>SUM(Table3[[#This Row],[Inv3_U1]:[Inv3_U4]])</f>
        <v>6053.8</v>
      </c>
      <c r="Z51" s="59">
        <v>89083.4</v>
      </c>
      <c r="AA51" s="59">
        <v>400.75</v>
      </c>
      <c r="AB51" s="56"/>
      <c r="AC51" s="77">
        <v>3.03</v>
      </c>
      <c r="AD51" s="78">
        <v>0</v>
      </c>
      <c r="AE51" s="77">
        <v>33.729999999999997</v>
      </c>
      <c r="AF51" s="77">
        <v>0</v>
      </c>
      <c r="AG51" s="77">
        <v>0</v>
      </c>
      <c r="AH51" s="56"/>
      <c r="AI51" s="16">
        <f>SUM(Table3[[#This Row],[Inv1]:[Inv3]])</f>
        <v>19019.399999999998</v>
      </c>
      <c r="AJ51" s="16">
        <f>IF((Table3[[#This Row],[33 kV Outgoinng Export Reading]]-Z50)*1000&gt;0,(Table3[[#This Row],[33 kV Outgoinng Export Reading]]-Z50)*1000,0)</f>
        <v>18799.999999988358</v>
      </c>
      <c r="AK51" s="16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67">
        <f t="shared" si="3"/>
        <v>12.2</v>
      </c>
      <c r="AN51" s="67"/>
    </row>
    <row r="52" spans="1:40" x14ac:dyDescent="0.3">
      <c r="A52" s="56">
        <f>YEAR(Table3[[#This Row],[Date]])+IF(MONTH(Table3[[#This Row],[Date]])&gt;=4,1,0)</f>
        <v>2026</v>
      </c>
      <c r="B52" s="56">
        <f>YEAR(Table3[[#This Row],[Date]])</f>
        <v>2025</v>
      </c>
      <c r="C52" s="56" t="s">
        <v>1070</v>
      </c>
      <c r="D52" s="56" t="s">
        <v>1070</v>
      </c>
      <c r="E52" s="6" t="str">
        <f>TEXT(Table3[[#This Row],[Date]],"mmm-yy")</f>
        <v>May-25</v>
      </c>
      <c r="F52" s="56">
        <f>DAY(EOMONTH(Table3[[#This Row],[Month Year]],0))</f>
        <v>31</v>
      </c>
      <c r="G52" s="58">
        <f t="shared" si="2"/>
        <v>45793</v>
      </c>
      <c r="H52" s="17">
        <f>'Modelling New'!$AR$1</f>
        <v>8.0208999999999993</v>
      </c>
      <c r="I52" s="88">
        <v>0.24374999999999999</v>
      </c>
      <c r="J52" s="88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79">
        <f>SUM(Table3[[#This Row],[Inv1_U1]:[Inv1_U4]])</f>
        <v>7650.8</v>
      </c>
      <c r="X52" s="80">
        <f>SUM(Table3[[#This Row],[Inv2_U1]:[Inv2_U4]])</f>
        <v>10805.8</v>
      </c>
      <c r="Y52" s="81">
        <f>SUM(Table3[[#This Row],[Inv3_U1]:[Inv3_U4]])</f>
        <v>11181.4</v>
      </c>
      <c r="Z52" s="59">
        <v>89112.9</v>
      </c>
      <c r="AA52" s="59">
        <v>400.85</v>
      </c>
      <c r="AB52" s="56"/>
      <c r="AC52" s="77">
        <v>5.42</v>
      </c>
      <c r="AD52" s="78">
        <v>0</v>
      </c>
      <c r="AE52" s="77">
        <v>41.83</v>
      </c>
      <c r="AF52" s="77">
        <v>0</v>
      </c>
      <c r="AG52" s="77">
        <v>0</v>
      </c>
      <c r="AH52" s="56"/>
      <c r="AI52" s="16">
        <f>SUM(Table3[[#This Row],[Inv1]:[Inv3]])</f>
        <v>29638</v>
      </c>
      <c r="AJ52" s="16">
        <f>IF((Table3[[#This Row],[33 kV Outgoinng Export Reading]]-Z51)*1000&gt;0,(Table3[[#This Row],[33 kV Outgoinng Export Reading]]-Z51)*1000,0)</f>
        <v>29500</v>
      </c>
      <c r="AK52" s="16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67">
        <f t="shared" si="3"/>
        <v>12.85</v>
      </c>
      <c r="AN52" s="67"/>
    </row>
    <row r="53" spans="1:40" x14ac:dyDescent="0.3">
      <c r="A53" s="56">
        <f>YEAR(Table3[[#This Row],[Date]])+IF(MONTH(Table3[[#This Row],[Date]])&gt;=4,1,0)</f>
        <v>2026</v>
      </c>
      <c r="B53" s="56">
        <f>YEAR(Table3[[#This Row],[Date]])</f>
        <v>2025</v>
      </c>
      <c r="C53" s="56" t="s">
        <v>1070</v>
      </c>
      <c r="D53" s="56" t="s">
        <v>1070</v>
      </c>
      <c r="E53" s="6" t="str">
        <f>TEXT(Table3[[#This Row],[Date]],"mmm-yy")</f>
        <v>May-25</v>
      </c>
      <c r="F53" s="56">
        <f>DAY(EOMONTH(Table3[[#This Row],[Month Year]],0))</f>
        <v>31</v>
      </c>
      <c r="G53" s="58">
        <f t="shared" si="2"/>
        <v>45794</v>
      </c>
      <c r="H53" s="17">
        <f>'Modelling New'!$AR$1</f>
        <v>8.0208999999999993</v>
      </c>
      <c r="I53" s="88">
        <v>0.24305555555555555</v>
      </c>
      <c r="J53" s="88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79">
        <f>SUM(Table3[[#This Row],[Inv1_U1]:[Inv1_U4]])</f>
        <v>10744.4</v>
      </c>
      <c r="X53" s="80">
        <f>SUM(Table3[[#This Row],[Inv2_U1]:[Inv2_U4]])</f>
        <v>10554.4</v>
      </c>
      <c r="Y53" s="81">
        <f>SUM(Table3[[#This Row],[Inv3_U1]:[Inv3_U4]])</f>
        <v>10911</v>
      </c>
      <c r="Z53" s="59">
        <v>89144.8</v>
      </c>
      <c r="AA53" s="59">
        <v>400.95</v>
      </c>
      <c r="AB53" s="56"/>
      <c r="AC53" s="77">
        <v>5.27</v>
      </c>
      <c r="AD53" s="78">
        <v>0</v>
      </c>
      <c r="AE53" s="77">
        <v>40.74</v>
      </c>
      <c r="AF53" s="77">
        <v>0</v>
      </c>
      <c r="AG53" s="77">
        <v>0</v>
      </c>
      <c r="AH53" s="56"/>
      <c r="AI53" s="16">
        <f>SUM(Table3[[#This Row],[Inv1]:[Inv3]])</f>
        <v>32209.8</v>
      </c>
      <c r="AJ53" s="16">
        <f>IF((Table3[[#This Row],[33 kV Outgoinng Export Reading]]-Z52)*1000&gt;0,(Table3[[#This Row],[33 kV Outgoinng Export Reading]]-Z52)*1000,0)</f>
        <v>31900.000000008731</v>
      </c>
      <c r="AK53" s="16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67">
        <f t="shared" si="3"/>
        <v>12.8</v>
      </c>
      <c r="AN53" s="67"/>
    </row>
    <row r="54" spans="1:40" x14ac:dyDescent="0.3">
      <c r="A54" s="56">
        <f>YEAR(Table3[[#This Row],[Date]])+IF(MONTH(Table3[[#This Row],[Date]])&gt;=4,1,0)</f>
        <v>2026</v>
      </c>
      <c r="B54" s="56">
        <f>YEAR(Table3[[#This Row],[Date]])</f>
        <v>2025</v>
      </c>
      <c r="C54" s="56" t="s">
        <v>1070</v>
      </c>
      <c r="D54" s="56" t="s">
        <v>1070</v>
      </c>
      <c r="E54" s="6" t="str">
        <f>TEXT(Table3[[#This Row],[Date]],"mmm-yy")</f>
        <v>May-25</v>
      </c>
      <c r="F54" s="56">
        <f>DAY(EOMONTH(Table3[[#This Row],[Month Year]],0))</f>
        <v>31</v>
      </c>
      <c r="G54" s="58">
        <f t="shared" si="2"/>
        <v>45795</v>
      </c>
      <c r="H54" s="17">
        <f>'Modelling New'!$AR$1</f>
        <v>8.0208999999999993</v>
      </c>
      <c r="I54" s="88">
        <v>0.25069444444444444</v>
      </c>
      <c r="J54" s="88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79">
        <f>SUM(Table3[[#This Row],[Inv1_U1]:[Inv1_U4]])</f>
        <v>7405</v>
      </c>
      <c r="X54" s="80">
        <f>SUM(Table3[[#This Row],[Inv2_U1]:[Inv2_U4]])</f>
        <v>7038.8</v>
      </c>
      <c r="Y54" s="81">
        <f>SUM(Table3[[#This Row],[Inv3_U1]:[Inv3_U4]])</f>
        <v>7445.4</v>
      </c>
      <c r="Z54" s="59">
        <v>89166.5</v>
      </c>
      <c r="AA54" s="59">
        <v>401.05</v>
      </c>
      <c r="AB54" s="56"/>
      <c r="AC54" s="77">
        <v>5.23</v>
      </c>
      <c r="AD54" s="78">
        <v>0</v>
      </c>
      <c r="AE54" s="77">
        <v>41.05</v>
      </c>
      <c r="AF54" s="77">
        <v>0</v>
      </c>
      <c r="AG54" s="77">
        <v>0</v>
      </c>
      <c r="AH54" s="56"/>
      <c r="AI54" s="16">
        <f>SUM(Table3[[#This Row],[Inv1]:[Inv3]])</f>
        <v>21889.199999999997</v>
      </c>
      <c r="AJ54" s="16">
        <f>IF((Table3[[#This Row],[33 kV Outgoinng Export Reading]]-Z53)*1000&gt;0,(Table3[[#This Row],[33 kV Outgoinng Export Reading]]-Z53)*1000,0)</f>
        <v>21699.99999999709</v>
      </c>
      <c r="AK54" s="16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67">
        <f t="shared" si="3"/>
        <v>12.65</v>
      </c>
      <c r="AN54" s="67"/>
    </row>
    <row r="55" spans="1:40" x14ac:dyDescent="0.3">
      <c r="A55" s="56">
        <f>YEAR(Table3[[#This Row],[Date]])+IF(MONTH(Table3[[#This Row],[Date]])&gt;=4,1,0)</f>
        <v>2026</v>
      </c>
      <c r="B55" s="56">
        <f>YEAR(Table3[[#This Row],[Date]])</f>
        <v>2025</v>
      </c>
      <c r="C55" s="56" t="s">
        <v>1070</v>
      </c>
      <c r="D55" s="56" t="s">
        <v>1070</v>
      </c>
      <c r="E55" s="6" t="str">
        <f>TEXT(Table3[[#This Row],[Date]],"mmm-yy")</f>
        <v>May-25</v>
      </c>
      <c r="F55" s="56">
        <f>DAY(EOMONTH(Table3[[#This Row],[Month Year]],0))</f>
        <v>31</v>
      </c>
      <c r="G55" s="58">
        <f t="shared" si="2"/>
        <v>45796</v>
      </c>
      <c r="H55" s="17">
        <f>'Modelling New'!$AR$1</f>
        <v>8.0208999999999993</v>
      </c>
      <c r="I55" s="88">
        <v>0.25</v>
      </c>
      <c r="J55" s="88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79">
        <f>SUM(Table3[[#This Row],[Inv1_U1]:[Inv1_U4]])</f>
        <v>9613</v>
      </c>
      <c r="X55" s="80">
        <f>SUM(Table3[[#This Row],[Inv2_U1]:[Inv2_U4]])</f>
        <v>9182.4000000000015</v>
      </c>
      <c r="Y55" s="81">
        <f>SUM(Table3[[#This Row],[Inv3_U1]:[Inv3_U4]])</f>
        <v>9681.5</v>
      </c>
      <c r="Z55" s="59">
        <v>89194.8</v>
      </c>
      <c r="AA55" s="59">
        <v>401.15</v>
      </c>
      <c r="AB55" s="56"/>
      <c r="AC55" s="77">
        <v>4.91</v>
      </c>
      <c r="AD55" s="78">
        <v>0</v>
      </c>
      <c r="AE55" s="77">
        <v>40.53</v>
      </c>
      <c r="AF55" s="77">
        <v>0</v>
      </c>
      <c r="AG55" s="77">
        <v>0</v>
      </c>
      <c r="AH55" s="56"/>
      <c r="AI55" s="16">
        <f>SUM(Table3[[#This Row],[Inv1]:[Inv3]])</f>
        <v>28476.9</v>
      </c>
      <c r="AJ55" s="16">
        <f>IF((Table3[[#This Row],[33 kV Outgoinng Export Reading]]-Z54)*1000&gt;0,(Table3[[#This Row],[33 kV Outgoinng Export Reading]]-Z54)*1000,0)</f>
        <v>28300.00000000291</v>
      </c>
      <c r="AK55" s="16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67">
        <f t="shared" si="3"/>
        <v>12.8</v>
      </c>
      <c r="AN55" s="67"/>
    </row>
    <row r="56" spans="1:40" x14ac:dyDescent="0.3">
      <c r="A56" s="171">
        <f>YEAR(Table3[[#This Row],[Date]])+IF(MONTH(Table3[[#This Row],[Date]])&gt;=4,1,0)</f>
        <v>2026</v>
      </c>
      <c r="B56" s="56">
        <f>YEAR(Table3[[#This Row],[Date]])</f>
        <v>2025</v>
      </c>
      <c r="C56" s="56" t="s">
        <v>1070</v>
      </c>
      <c r="D56" s="56" t="s">
        <v>1070</v>
      </c>
      <c r="E56" s="6" t="str">
        <f>TEXT(Table3[[#This Row],[Date]],"mmm-yy")</f>
        <v>May-25</v>
      </c>
      <c r="F56" s="56">
        <f>DAY(EOMONTH(Table3[[#This Row],[Month Year]],0))</f>
        <v>31</v>
      </c>
      <c r="G56" s="58">
        <f t="shared" si="2"/>
        <v>45797</v>
      </c>
      <c r="H56" s="17">
        <f>'Modelling New'!$AR$1</f>
        <v>8.0208999999999993</v>
      </c>
      <c r="I56" s="88">
        <v>0.24791666666666667</v>
      </c>
      <c r="J56" s="88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79">
        <f>SUM(Table3[[#This Row],[Inv1_U1]:[Inv1_U4]])</f>
        <v>10402.200000000001</v>
      </c>
      <c r="X56" s="80">
        <f>SUM(Table3[[#This Row],[Inv2_U1]:[Inv2_U4]])</f>
        <v>10044.200000000001</v>
      </c>
      <c r="Y56" s="81">
        <f>SUM(Table3[[#This Row],[Inv3_U1]:[Inv3_U4]])</f>
        <v>9862</v>
      </c>
      <c r="Z56" s="59">
        <v>89224.9</v>
      </c>
      <c r="AA56" s="59">
        <v>401.25</v>
      </c>
      <c r="AB56" s="56"/>
      <c r="AC56" s="77">
        <v>4.84</v>
      </c>
      <c r="AD56" s="78">
        <v>0</v>
      </c>
      <c r="AE56" s="77">
        <v>40.06</v>
      </c>
      <c r="AF56" s="77">
        <v>0</v>
      </c>
      <c r="AG56" s="77">
        <v>0</v>
      </c>
      <c r="AH56" s="56"/>
      <c r="AI56" s="16">
        <f>SUM(Table3[[#This Row],[Inv1]:[Inv3]])</f>
        <v>30308.400000000001</v>
      </c>
      <c r="AJ56" s="16">
        <f>IF((Table3[[#This Row],[33 kV Outgoinng Export Reading]]-Z55)*1000&gt;0,(Table3[[#This Row],[33 kV Outgoinng Export Reading]]-Z55)*1000,0)</f>
        <v>30099.999999991269</v>
      </c>
      <c r="AK56" s="16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67">
        <f t="shared" ref="AM56:AM61" si="4">IFERROR((J56-I56)*24,"")</f>
        <v>12.716666666666667</v>
      </c>
      <c r="AN56" s="67"/>
    </row>
    <row r="57" spans="1:40" x14ac:dyDescent="0.3">
      <c r="A57" s="171">
        <f>YEAR(Table3[[#This Row],[Date]])+IF(MONTH(Table3[[#This Row],[Date]])&gt;=4,1,0)</f>
        <v>2026</v>
      </c>
      <c r="B57" s="56">
        <f>YEAR(Table3[[#This Row],[Date]])</f>
        <v>2025</v>
      </c>
      <c r="C57" s="56" t="s">
        <v>1070</v>
      </c>
      <c r="D57" s="56" t="s">
        <v>1070</v>
      </c>
      <c r="E57" s="6" t="str">
        <f>TEXT(Table3[[#This Row],[Date]],"mmm-yy")</f>
        <v>May-25</v>
      </c>
      <c r="F57" s="56">
        <f>DAY(EOMONTH(Table3[[#This Row],[Month Year]],0))</f>
        <v>31</v>
      </c>
      <c r="G57" s="58">
        <f t="shared" si="2"/>
        <v>45798</v>
      </c>
      <c r="H57" s="17">
        <f>'Modelling New'!$AR$1</f>
        <v>8.0208999999999993</v>
      </c>
      <c r="I57" s="88">
        <v>0.24305555555555555</v>
      </c>
      <c r="J57" s="88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79">
        <f>SUM(Table3[[#This Row],[Inv1_U1]:[Inv1_U4]])</f>
        <v>6872.5</v>
      </c>
      <c r="X57" s="80">
        <f>SUM(Table3[[#This Row],[Inv2_U1]:[Inv2_U4]])</f>
        <v>6631.5</v>
      </c>
      <c r="Y57" s="81">
        <f>SUM(Table3[[#This Row],[Inv3_U1]:[Inv3_U4]])</f>
        <v>6898.2999999999993</v>
      </c>
      <c r="Z57" s="59">
        <v>89245.1</v>
      </c>
      <c r="AA57" s="59">
        <v>401.35</v>
      </c>
      <c r="AB57" s="56"/>
      <c r="AC57" s="77">
        <v>3.26</v>
      </c>
      <c r="AD57" s="78">
        <v>0</v>
      </c>
      <c r="AE57" s="77">
        <v>33.83</v>
      </c>
      <c r="AF57" s="77">
        <v>0</v>
      </c>
      <c r="AG57" s="77">
        <v>0</v>
      </c>
      <c r="AH57" s="56"/>
      <c r="AI57" s="16">
        <f>SUM(Table3[[#This Row],[Inv1]:[Inv3]])</f>
        <v>20402.3</v>
      </c>
      <c r="AJ57" s="16">
        <f>IF((Table3[[#This Row],[33 kV Outgoinng Export Reading]]-Z56)*1000&gt;0,(Table3[[#This Row],[33 kV Outgoinng Export Reading]]-Z56)*1000,0)</f>
        <v>20200.000000011642</v>
      </c>
      <c r="AK57" s="16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67">
        <f t="shared" si="4"/>
        <v>12.833333333333332</v>
      </c>
      <c r="AN57" s="67"/>
    </row>
    <row r="58" spans="1:40" x14ac:dyDescent="0.3">
      <c r="A58" s="171">
        <f>YEAR(Table3[[#This Row],[Date]])+IF(MONTH(Table3[[#This Row],[Date]])&gt;=4,1,0)</f>
        <v>2026</v>
      </c>
      <c r="B58" s="56">
        <f>YEAR(Table3[[#This Row],[Date]])</f>
        <v>2025</v>
      </c>
      <c r="C58" s="56" t="s">
        <v>1070</v>
      </c>
      <c r="D58" s="56" t="s">
        <v>1070</v>
      </c>
      <c r="E58" s="6" t="str">
        <f>TEXT(Table3[[#This Row],[Date]],"mmm-yy")</f>
        <v>May-25</v>
      </c>
      <c r="F58" s="56">
        <f>DAY(EOMONTH(Table3[[#This Row],[Month Year]],0))</f>
        <v>31</v>
      </c>
      <c r="G58" s="58">
        <f t="shared" si="2"/>
        <v>45799</v>
      </c>
      <c r="H58" s="17">
        <f>'Modelling New'!$AR$1</f>
        <v>8.0208999999999993</v>
      </c>
      <c r="I58" s="88">
        <v>0.24374999999999999</v>
      </c>
      <c r="J58" s="88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79">
        <f>SUM(Table3[[#This Row],[Inv1_U1]:[Inv1_U4]])</f>
        <v>9162.9</v>
      </c>
      <c r="X58" s="80">
        <f>SUM(Table3[[#This Row],[Inv2_U1]:[Inv2_U4]])</f>
        <v>8878.2000000000007</v>
      </c>
      <c r="Y58" s="81">
        <f>SUM(Table3[[#This Row],[Inv3_U1]:[Inv3_U4]])</f>
        <v>9504.7000000000007</v>
      </c>
      <c r="Z58" s="59">
        <v>89272.4</v>
      </c>
      <c r="AA58" s="59">
        <v>401.45</v>
      </c>
      <c r="AB58" s="56"/>
      <c r="AC58" s="77">
        <v>5.56</v>
      </c>
      <c r="AD58" s="78">
        <v>0</v>
      </c>
      <c r="AE58" s="77">
        <v>48.87</v>
      </c>
      <c r="AF58" s="77">
        <v>0</v>
      </c>
      <c r="AG58" s="77">
        <v>0</v>
      </c>
      <c r="AH58" s="56"/>
      <c r="AI58" s="16">
        <f>SUM(Table3[[#This Row],[Inv1]:[Inv3]])</f>
        <v>27545.8</v>
      </c>
      <c r="AJ58" s="16">
        <f>IF((Table3[[#This Row],[33 kV Outgoinng Export Reading]]-Z57)*1000&gt;0,(Table3[[#This Row],[33 kV Outgoinng Export Reading]]-Z57)*1000,0)</f>
        <v>27299.999999988358</v>
      </c>
      <c r="AK58" s="16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67">
        <f t="shared" si="4"/>
        <v>12.533333333333335</v>
      </c>
      <c r="AN58" s="67"/>
    </row>
    <row r="59" spans="1:40" x14ac:dyDescent="0.3">
      <c r="A59" s="171">
        <f>YEAR(Table3[[#This Row],[Date]])+IF(MONTH(Table3[[#This Row],[Date]])&gt;=4,1,0)</f>
        <v>2026</v>
      </c>
      <c r="B59" s="56">
        <f>YEAR(Table3[[#This Row],[Date]])</f>
        <v>2025</v>
      </c>
      <c r="C59" s="56" t="s">
        <v>1070</v>
      </c>
      <c r="D59" s="56" t="s">
        <v>1070</v>
      </c>
      <c r="E59" s="6" t="str">
        <f>TEXT(Table3[[#This Row],[Date]],"mmm-yy")</f>
        <v>May-25</v>
      </c>
      <c r="F59" s="56">
        <f>DAY(EOMONTH(Table3[[#This Row],[Month Year]],0))</f>
        <v>31</v>
      </c>
      <c r="G59" s="58">
        <f t="shared" si="2"/>
        <v>45800</v>
      </c>
      <c r="H59" s="17">
        <f>'Modelling New'!$AR$1</f>
        <v>8.0208999999999993</v>
      </c>
      <c r="I59" s="88">
        <v>0.24652777777777779</v>
      </c>
      <c r="J59" s="88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79">
        <f>SUM(Table3[[#This Row],[Inv1_U1]:[Inv1_U4]])</f>
        <v>10878.900000000001</v>
      </c>
      <c r="X59" s="80">
        <f>SUM(Table3[[#This Row],[Inv2_U1]:[Inv2_U4]])</f>
        <v>10592.6</v>
      </c>
      <c r="Y59" s="81">
        <f>SUM(Table3[[#This Row],[Inv3_U1]:[Inv3_U4]])</f>
        <v>11581</v>
      </c>
      <c r="Z59" s="59">
        <v>89305.15</v>
      </c>
      <c r="AA59" s="59">
        <v>401.55</v>
      </c>
      <c r="AB59" s="56"/>
      <c r="AC59" s="77">
        <v>5.31</v>
      </c>
      <c r="AD59" s="78">
        <v>0</v>
      </c>
      <c r="AE59" s="77">
        <v>36.07</v>
      </c>
      <c r="AF59" s="77">
        <v>0</v>
      </c>
      <c r="AG59" s="77">
        <v>0</v>
      </c>
      <c r="AH59" s="56"/>
      <c r="AI59" s="16">
        <f>SUM(Table3[[#This Row],[Inv1]:[Inv3]])</f>
        <v>33052.5</v>
      </c>
      <c r="AJ59" s="16">
        <f>IF((Table3[[#This Row],[33 kV Outgoinng Export Reading]]-Z58)*1000&gt;0,(Table3[[#This Row],[33 kV Outgoinng Export Reading]]-Z58)*1000,0)</f>
        <v>32750</v>
      </c>
      <c r="AK59" s="16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67">
        <f t="shared" si="4"/>
        <v>12.833333333333332</v>
      </c>
      <c r="AN59" s="67"/>
    </row>
    <row r="60" spans="1:40" x14ac:dyDescent="0.3">
      <c r="A60" s="171">
        <f>YEAR(Table3[[#This Row],[Date]])+IF(MONTH(Table3[[#This Row],[Date]])&gt;=4,1,0)</f>
        <v>2026</v>
      </c>
      <c r="B60" s="56">
        <f>YEAR(Table3[[#This Row],[Date]])</f>
        <v>2025</v>
      </c>
      <c r="C60" s="56" t="s">
        <v>1070</v>
      </c>
      <c r="D60" s="56" t="s">
        <v>1070</v>
      </c>
      <c r="E60" s="6" t="str">
        <f>TEXT(Table3[[#This Row],[Date]],"mmm-yy")</f>
        <v>May-25</v>
      </c>
      <c r="F60" s="56">
        <f>DAY(EOMONTH(Table3[[#This Row],[Month Year]],0))</f>
        <v>31</v>
      </c>
      <c r="G60" s="58">
        <f t="shared" si="2"/>
        <v>45801</v>
      </c>
      <c r="H60" s="17">
        <f>'Modelling New'!$AR$1</f>
        <v>8.0208999999999993</v>
      </c>
      <c r="I60" s="88">
        <v>0.25069444444444444</v>
      </c>
      <c r="J60" s="88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79">
        <f>SUM(Table3[[#This Row],[Inv1_U1]:[Inv1_U4]])</f>
        <v>9038</v>
      </c>
      <c r="X60" s="80">
        <f>SUM(Table3[[#This Row],[Inv2_U1]:[Inv2_U4]])</f>
        <v>8795</v>
      </c>
      <c r="Y60" s="81">
        <f>SUM(Table3[[#This Row],[Inv3_U1]:[Inv3_U4]])</f>
        <v>9469.7999999999993</v>
      </c>
      <c r="Z60" s="59">
        <v>89332.2</v>
      </c>
      <c r="AA60" s="59">
        <v>401.65</v>
      </c>
      <c r="AB60" s="56"/>
      <c r="AC60" s="77">
        <v>4.32</v>
      </c>
      <c r="AD60" s="78">
        <v>0</v>
      </c>
      <c r="AE60" s="77">
        <v>34.130000000000003</v>
      </c>
      <c r="AF60" s="77">
        <v>0</v>
      </c>
      <c r="AG60" s="77">
        <v>0</v>
      </c>
      <c r="AH60" s="56"/>
      <c r="AI60" s="16">
        <f>SUM(Table3[[#This Row],[Inv1]:[Inv3]])</f>
        <v>27302.799999999999</v>
      </c>
      <c r="AJ60" s="16">
        <f>IF((Table3[[#This Row],[33 kV Outgoinng Export Reading]]-Z59)*1000&gt;0,(Table3[[#This Row],[33 kV Outgoinng Export Reading]]-Z59)*1000,0)</f>
        <v>27050.00000000291</v>
      </c>
      <c r="AK60" s="16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67">
        <f t="shared" si="4"/>
        <v>12.583333333333334</v>
      </c>
      <c r="AN60" s="67"/>
    </row>
    <row r="61" spans="1:40" x14ac:dyDescent="0.3">
      <c r="A61" s="171">
        <f>YEAR(Table3[[#This Row],[Date]])+IF(MONTH(Table3[[#This Row],[Date]])&gt;=4,1,0)</f>
        <v>2026</v>
      </c>
      <c r="B61" s="56">
        <f>YEAR(Table3[[#This Row],[Date]])</f>
        <v>2025</v>
      </c>
      <c r="C61" s="56" t="s">
        <v>1070</v>
      </c>
      <c r="D61" s="56" t="s">
        <v>1070</v>
      </c>
      <c r="E61" s="6" t="str">
        <f>TEXT(Table3[[#This Row],[Date]],"mmm-yy")</f>
        <v>May-25</v>
      </c>
      <c r="F61" s="56">
        <f>DAY(EOMONTH(Table3[[#This Row],[Month Year]],0))</f>
        <v>31</v>
      </c>
      <c r="G61" s="58">
        <f t="shared" si="2"/>
        <v>45802</v>
      </c>
      <c r="H61" s="17">
        <f>'Modelling New'!$AR$1</f>
        <v>8.0208999999999993</v>
      </c>
      <c r="I61" s="88">
        <v>0.24374999999999999</v>
      </c>
      <c r="J61" s="88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79">
        <f>SUM(Table3[[#This Row],[Inv1_U1]:[Inv1_U4]])</f>
        <v>8086.6</v>
      </c>
      <c r="X61" s="80">
        <f>SUM(Table3[[#This Row],[Inv2_U1]:[Inv2_U4]])</f>
        <v>7740.7000000000007</v>
      </c>
      <c r="Y61" s="81">
        <f>SUM(Table3[[#This Row],[Inv3_U1]:[Inv3_U4]])</f>
        <v>7847</v>
      </c>
      <c r="Z61" s="59">
        <v>89355.7</v>
      </c>
      <c r="AA61" s="59">
        <v>401.75</v>
      </c>
      <c r="AB61" s="56"/>
      <c r="AC61" s="77">
        <v>3.74</v>
      </c>
      <c r="AD61" s="78">
        <v>0</v>
      </c>
      <c r="AE61" s="77">
        <v>33.6</v>
      </c>
      <c r="AF61" s="77">
        <v>0</v>
      </c>
      <c r="AG61" s="77">
        <v>0</v>
      </c>
      <c r="AH61" s="56"/>
      <c r="AI61" s="16">
        <f>SUM(Table3[[#This Row],[Inv1]:[Inv3]])</f>
        <v>23674.300000000003</v>
      </c>
      <c r="AJ61" s="16">
        <f>IF((Table3[[#This Row],[33 kV Outgoinng Export Reading]]-Z60)*1000&gt;0,(Table3[[#This Row],[33 kV Outgoinng Export Reading]]-Z60)*1000,0)</f>
        <v>23500</v>
      </c>
      <c r="AK61" s="16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67">
        <f t="shared" si="4"/>
        <v>12.866666666666667</v>
      </c>
      <c r="AN61" s="67"/>
    </row>
    <row r="62" spans="1:40" x14ac:dyDescent="0.3">
      <c r="A62" s="171">
        <f>YEAR(Table3[[#This Row],[Date]])+IF(MONTH(Table3[[#This Row],[Date]])&gt;=4,1,0)</f>
        <v>2026</v>
      </c>
      <c r="B62" s="56">
        <f>YEAR(Table3[[#This Row],[Date]])</f>
        <v>2025</v>
      </c>
      <c r="C62" s="56" t="s">
        <v>1070</v>
      </c>
      <c r="D62" s="56" t="s">
        <v>1070</v>
      </c>
      <c r="E62" s="6" t="str">
        <f>TEXT(Table3[[#This Row],[Date]],"mmm-yy")</f>
        <v>May-25</v>
      </c>
      <c r="F62" s="56">
        <f>DAY(EOMONTH(Table3[[#This Row],[Month Year]],0))</f>
        <v>31</v>
      </c>
      <c r="G62" s="58">
        <f t="shared" si="2"/>
        <v>45803</v>
      </c>
      <c r="H62" s="17">
        <f>'Modelling New'!$AR$1</f>
        <v>8.0208999999999993</v>
      </c>
      <c r="I62" s="88">
        <v>0.25138888888888888</v>
      </c>
      <c r="J62" s="88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79">
        <f>SUM(Table3[[#This Row],[Inv1_U1]:[Inv1_U4]])</f>
        <v>6450.5</v>
      </c>
      <c r="X62" s="80">
        <f>SUM(Table3[[#This Row],[Inv2_U1]:[Inv2_U4]])</f>
        <v>6161.1</v>
      </c>
      <c r="Y62" s="81">
        <f>SUM(Table3[[#This Row],[Inv3_U1]:[Inv3_U4]])</f>
        <v>6455.7000000000007</v>
      </c>
      <c r="Z62" s="59">
        <v>89374.6</v>
      </c>
      <c r="AA62" s="59">
        <v>401.85</v>
      </c>
      <c r="AB62" s="56"/>
      <c r="AC62" s="77">
        <v>2.88</v>
      </c>
      <c r="AD62" s="78">
        <v>0</v>
      </c>
      <c r="AE62" s="77">
        <v>33.68</v>
      </c>
      <c r="AF62" s="77">
        <v>0</v>
      </c>
      <c r="AG62" s="77">
        <v>0</v>
      </c>
      <c r="AH62" s="56"/>
      <c r="AI62" s="16">
        <f>SUM(Table3[[#This Row],[Inv1]:[Inv3]])</f>
        <v>19067.300000000003</v>
      </c>
      <c r="AJ62" s="16">
        <f>IF((Table3[[#This Row],[33 kV Outgoinng Export Reading]]-Z61)*1000&gt;0,(Table3[[#This Row],[33 kV Outgoinng Export Reading]]-Z61)*1000,0)</f>
        <v>18900.000000008731</v>
      </c>
      <c r="AK62" s="16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67">
        <f t="shared" ref="AM62:AM67" si="5">IFERROR((J62-I62)*24,"")</f>
        <v>12.8</v>
      </c>
      <c r="AN62" s="67"/>
    </row>
    <row r="63" spans="1:40" x14ac:dyDescent="0.3">
      <c r="A63" s="171">
        <f>YEAR(Table3[[#This Row],[Date]])+IF(MONTH(Table3[[#This Row],[Date]])&gt;=4,1,0)</f>
        <v>2026</v>
      </c>
      <c r="B63" s="56">
        <f>YEAR(Table3[[#This Row],[Date]])</f>
        <v>2025</v>
      </c>
      <c r="C63" s="56" t="s">
        <v>1070</v>
      </c>
      <c r="D63" s="56" t="s">
        <v>1070</v>
      </c>
      <c r="E63" s="6" t="str">
        <f>TEXT(Table3[[#This Row],[Date]],"mmm-yy")</f>
        <v>May-25</v>
      </c>
      <c r="F63" s="56">
        <f>DAY(EOMONTH(Table3[[#This Row],[Month Year]],0))</f>
        <v>31</v>
      </c>
      <c r="G63" s="58">
        <f t="shared" si="2"/>
        <v>45804</v>
      </c>
      <c r="H63" s="17">
        <f>'Modelling New'!$AR$1</f>
        <v>8.0208999999999993</v>
      </c>
      <c r="I63" s="88">
        <v>0.24374999999999999</v>
      </c>
      <c r="J63" s="88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79">
        <f>SUM(Table3[[#This Row],[Inv1_U1]:[Inv1_U4]])</f>
        <v>6652.5</v>
      </c>
      <c r="X63" s="80">
        <f>SUM(Table3[[#This Row],[Inv2_U1]:[Inv2_U4]])</f>
        <v>6453.3</v>
      </c>
      <c r="Y63" s="81">
        <f>SUM(Table3[[#This Row],[Inv3_U1]:[Inv3_U4]])</f>
        <v>6824.7999999999993</v>
      </c>
      <c r="Z63" s="59">
        <v>89394.35</v>
      </c>
      <c r="AA63" s="59">
        <v>401.95</v>
      </c>
      <c r="AB63" s="56"/>
      <c r="AC63" s="77">
        <v>3.04</v>
      </c>
      <c r="AD63" s="78">
        <v>0</v>
      </c>
      <c r="AE63" s="77">
        <v>32.93</v>
      </c>
      <c r="AF63" s="77">
        <v>0</v>
      </c>
      <c r="AG63" s="77">
        <v>0</v>
      </c>
      <c r="AH63" s="56"/>
      <c r="AI63" s="16">
        <f>SUM(Table3[[#This Row],[Inv1]:[Inv3]])</f>
        <v>19930.599999999999</v>
      </c>
      <c r="AJ63" s="16">
        <f>IF((Table3[[#This Row],[33 kV Outgoinng Export Reading]]-Z62)*1000&gt;0,(Table3[[#This Row],[33 kV Outgoinng Export Reading]]-Z62)*1000,0)</f>
        <v>19750</v>
      </c>
      <c r="AK63" s="16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67">
        <f t="shared" si="5"/>
        <v>12.583333333333334</v>
      </c>
      <c r="AN63" s="67"/>
    </row>
    <row r="64" spans="1:40" x14ac:dyDescent="0.3">
      <c r="A64" s="171">
        <f>YEAR(Table3[[#This Row],[Date]])+IF(MONTH(Table3[[#This Row],[Date]])&gt;=4,1,0)</f>
        <v>2026</v>
      </c>
      <c r="B64" s="56">
        <f>YEAR(Table3[[#This Row],[Date]])</f>
        <v>2025</v>
      </c>
      <c r="C64" s="56" t="s">
        <v>1070</v>
      </c>
      <c r="D64" s="56" t="s">
        <v>1070</v>
      </c>
      <c r="E64" s="6" t="str">
        <f>TEXT(Table3[[#This Row],[Date]],"mmm-yy")</f>
        <v>May-25</v>
      </c>
      <c r="F64" s="56">
        <f>DAY(EOMONTH(Table3[[#This Row],[Month Year]],0))</f>
        <v>31</v>
      </c>
      <c r="G64" s="58">
        <f t="shared" si="2"/>
        <v>45805</v>
      </c>
      <c r="H64" s="17">
        <f>'Modelling New'!$AR$1</f>
        <v>8.0208999999999993</v>
      </c>
      <c r="I64" s="88">
        <v>0.24305555555555555</v>
      </c>
      <c r="J64" s="88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79">
        <f>SUM(Table3[[#This Row],[Inv1_U1]:[Inv1_U4]])</f>
        <v>7512.5</v>
      </c>
      <c r="X64" s="80">
        <f>SUM(Table3[[#This Row],[Inv2_U1]:[Inv2_U4]])</f>
        <v>7142.5</v>
      </c>
      <c r="Y64" s="81">
        <f>SUM(Table3[[#This Row],[Inv3_U1]:[Inv3_U4]])</f>
        <v>7588</v>
      </c>
      <c r="Z64" s="59">
        <v>89416.4</v>
      </c>
      <c r="AA64" s="59">
        <v>402.05</v>
      </c>
      <c r="AB64" s="56"/>
      <c r="AC64" s="77">
        <v>3.25</v>
      </c>
      <c r="AD64" s="78">
        <v>0</v>
      </c>
      <c r="AE64" s="77">
        <v>32.46</v>
      </c>
      <c r="AF64" s="77">
        <v>0</v>
      </c>
      <c r="AG64" s="77">
        <v>0</v>
      </c>
      <c r="AH64" s="56"/>
      <c r="AI64" s="16">
        <f>SUM(Table3[[#This Row],[Inv1]:[Inv3]])</f>
        <v>22243</v>
      </c>
      <c r="AJ64" s="16">
        <f>IF((Table3[[#This Row],[33 kV Outgoinng Export Reading]]-Z63)*1000&gt;0,(Table3[[#This Row],[33 kV Outgoinng Export Reading]]-Z63)*1000,0)</f>
        <v>22049.999999988358</v>
      </c>
      <c r="AK64" s="16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67">
        <f t="shared" si="5"/>
        <v>12.833333333333332</v>
      </c>
      <c r="AN64" s="67"/>
    </row>
    <row r="65" spans="1:40" x14ac:dyDescent="0.3">
      <c r="A65" s="171">
        <f>YEAR(Table3[[#This Row],[Date]])+IF(MONTH(Table3[[#This Row],[Date]])&gt;=4,1,0)</f>
        <v>2026</v>
      </c>
      <c r="B65" s="56">
        <f>YEAR(Table3[[#This Row],[Date]])</f>
        <v>2025</v>
      </c>
      <c r="C65" s="56" t="s">
        <v>1070</v>
      </c>
      <c r="D65" s="56" t="s">
        <v>1070</v>
      </c>
      <c r="E65" s="6" t="str">
        <f>TEXT(Table3[[#This Row],[Date]],"mmm-yy")</f>
        <v>May-25</v>
      </c>
      <c r="F65" s="56">
        <f>DAY(EOMONTH(Table3[[#This Row],[Month Year]],0))</f>
        <v>31</v>
      </c>
      <c r="G65" s="58">
        <f t="shared" si="2"/>
        <v>45806</v>
      </c>
      <c r="H65" s="17">
        <f>'Modelling New'!$AR$1</f>
        <v>8.0208999999999993</v>
      </c>
      <c r="I65" s="88">
        <v>0.24652777777777779</v>
      </c>
      <c r="J65" s="88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79">
        <f>SUM(Table3[[#This Row],[Inv1_U1]:[Inv1_U4]])</f>
        <v>6420.7</v>
      </c>
      <c r="X65" s="80">
        <f>SUM(Table3[[#This Row],[Inv2_U1]:[Inv2_U4]])</f>
        <v>6151.9</v>
      </c>
      <c r="Y65" s="81">
        <f>SUM(Table3[[#This Row],[Inv3_U1]:[Inv3_U4]])</f>
        <v>6439.5</v>
      </c>
      <c r="Z65" s="59">
        <v>89435.3</v>
      </c>
      <c r="AA65" s="59">
        <v>402.2</v>
      </c>
      <c r="AB65" s="56"/>
      <c r="AC65" s="77">
        <v>2.67</v>
      </c>
      <c r="AD65" s="78">
        <v>0</v>
      </c>
      <c r="AE65" s="77">
        <v>32.15</v>
      </c>
      <c r="AF65" s="77">
        <v>0</v>
      </c>
      <c r="AG65" s="77">
        <v>0</v>
      </c>
      <c r="AH65" s="56"/>
      <c r="AI65" s="16">
        <f>SUM(Table3[[#This Row],[Inv1]:[Inv3]])</f>
        <v>19012.099999999999</v>
      </c>
      <c r="AJ65" s="16">
        <f>IF((Table3[[#This Row],[33 kV Outgoinng Export Reading]]-Z64)*1000&gt;0,(Table3[[#This Row],[33 kV Outgoinng Export Reading]]-Z64)*1000,0)</f>
        <v>18900.000000008731</v>
      </c>
      <c r="AK65" s="16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67">
        <f t="shared" si="5"/>
        <v>12.733333333333334</v>
      </c>
      <c r="AN65" s="67"/>
    </row>
    <row r="66" spans="1:40" x14ac:dyDescent="0.3">
      <c r="A66" s="171">
        <f>YEAR(Table3[[#This Row],[Date]])+IF(MONTH(Table3[[#This Row],[Date]])&gt;=4,1,0)</f>
        <v>2026</v>
      </c>
      <c r="B66" s="56">
        <f>YEAR(Table3[[#This Row],[Date]])</f>
        <v>2025</v>
      </c>
      <c r="C66" s="56" t="s">
        <v>1070</v>
      </c>
      <c r="D66" s="56" t="s">
        <v>1070</v>
      </c>
      <c r="E66" s="6" t="str">
        <f>TEXT(Table3[[#This Row],[Date]],"mmm-yy")</f>
        <v>May-25</v>
      </c>
      <c r="F66" s="56">
        <f>DAY(EOMONTH(Table3[[#This Row],[Month Year]],0))</f>
        <v>31</v>
      </c>
      <c r="G66" s="58">
        <f t="shared" si="2"/>
        <v>45807</v>
      </c>
      <c r="H66" s="17">
        <f>'Modelling New'!$AR$1</f>
        <v>8.0208999999999993</v>
      </c>
      <c r="I66" s="88">
        <v>0.24305555555555555</v>
      </c>
      <c r="J66" s="88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79">
        <f>SUM(Table3[[#This Row],[Inv1_U1]:[Inv1_U4]])</f>
        <v>12077.2</v>
      </c>
      <c r="X66" s="80">
        <f>SUM(Table3[[#This Row],[Inv2_U1]:[Inv2_U4]])</f>
        <v>11545.6</v>
      </c>
      <c r="Y66" s="81">
        <f>SUM(Table3[[#This Row],[Inv3_U1]:[Inv3_U4]])</f>
        <v>12128</v>
      </c>
      <c r="Z66" s="59">
        <v>89470.7</v>
      </c>
      <c r="AA66" s="59">
        <v>402.3</v>
      </c>
      <c r="AB66" s="56"/>
      <c r="AC66" s="77">
        <v>5.3</v>
      </c>
      <c r="AD66" s="78">
        <v>0</v>
      </c>
      <c r="AE66" s="77">
        <v>37.700000000000003</v>
      </c>
      <c r="AF66" s="77">
        <v>0</v>
      </c>
      <c r="AG66" s="77">
        <v>0</v>
      </c>
      <c r="AH66" s="56"/>
      <c r="AI66" s="16">
        <f>SUM(Table3[[#This Row],[Inv1]:[Inv3]])</f>
        <v>35750.800000000003</v>
      </c>
      <c r="AJ66" s="16">
        <f>IF((Table3[[#This Row],[33 kV Outgoinng Export Reading]]-Z65)*1000&gt;0,(Table3[[#This Row],[33 kV Outgoinng Export Reading]]-Z65)*1000,0)</f>
        <v>35399.999999994179</v>
      </c>
      <c r="AK66" s="16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67">
        <f t="shared" si="5"/>
        <v>12.916666666666666</v>
      </c>
      <c r="AN66" s="67"/>
    </row>
    <row r="67" spans="1:40" x14ac:dyDescent="0.3">
      <c r="A67" s="171">
        <f>YEAR(Table3[[#This Row],[Date]])+IF(MONTH(Table3[[#This Row],[Date]])&gt;=4,1,0)</f>
        <v>2026</v>
      </c>
      <c r="B67" s="56">
        <f>YEAR(Table3[[#This Row],[Date]])</f>
        <v>2025</v>
      </c>
      <c r="C67" s="56" t="s">
        <v>1070</v>
      </c>
      <c r="D67" s="56" t="s">
        <v>1070</v>
      </c>
      <c r="E67" s="6" t="str">
        <f>TEXT(Table3[[#This Row],[Date]],"mmm-yy")</f>
        <v>May-25</v>
      </c>
      <c r="F67" s="56">
        <f>DAY(EOMONTH(Table3[[#This Row],[Month Year]],0))</f>
        <v>31</v>
      </c>
      <c r="G67" s="58">
        <f t="shared" si="2"/>
        <v>45808</v>
      </c>
      <c r="H67" s="17">
        <f>'Modelling New'!$AR$1</f>
        <v>8.0208999999999993</v>
      </c>
      <c r="I67" s="88">
        <v>0.24305555555555555</v>
      </c>
      <c r="J67" s="88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79">
        <f>SUM(Table3[[#This Row],[Inv1_U1]:[Inv1_U4]])</f>
        <v>13453.5</v>
      </c>
      <c r="X67" s="80">
        <f>SUM(Table3[[#This Row],[Inv2_U1]:[Inv2_U4]])</f>
        <v>12979.900000000001</v>
      </c>
      <c r="Y67" s="81">
        <f>SUM(Table3[[#This Row],[Inv3_U1]:[Inv3_U4]])</f>
        <v>13644.3</v>
      </c>
      <c r="Z67" s="59">
        <v>89510.5</v>
      </c>
      <c r="AA67" s="59">
        <v>402.4</v>
      </c>
      <c r="AB67" s="56"/>
      <c r="AC67" s="77">
        <v>6.1</v>
      </c>
      <c r="AD67" s="78">
        <v>0</v>
      </c>
      <c r="AE67" s="77">
        <v>39.9</v>
      </c>
      <c r="AF67" s="77">
        <v>0</v>
      </c>
      <c r="AG67" s="77">
        <v>0</v>
      </c>
      <c r="AH67" s="56"/>
      <c r="AI67" s="16">
        <f>SUM(Table3[[#This Row],[Inv1]:[Inv3]])</f>
        <v>40077.699999999997</v>
      </c>
      <c r="AJ67" s="16">
        <f>IF((Table3[[#This Row],[33 kV Outgoinng Export Reading]]-Z66)*1000&gt;0,(Table3[[#This Row],[33 kV Outgoinng Export Reading]]-Z66)*1000,0)</f>
        <v>39800.00000000291</v>
      </c>
      <c r="AK67" s="16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67">
        <f t="shared" si="5"/>
        <v>12.983333333333333</v>
      </c>
      <c r="AN67" s="67"/>
    </row>
    <row r="68" spans="1:40" x14ac:dyDescent="0.3">
      <c r="A68" s="171">
        <f>YEAR(Table3[[#This Row],[Date]])+IF(MONTH(Table3[[#This Row],[Date]])&gt;=4,1,0)</f>
        <v>2026</v>
      </c>
      <c r="B68" s="56">
        <f>YEAR(Table3[[#This Row],[Date]])</f>
        <v>2025</v>
      </c>
      <c r="C68" s="56" t="s">
        <v>1070</v>
      </c>
      <c r="D68" s="56" t="s">
        <v>1070</v>
      </c>
      <c r="E68" s="6" t="str">
        <f>TEXT(Table3[[#This Row],[Date]],"mmm-yy")</f>
        <v>Jun-25</v>
      </c>
      <c r="F68" s="56">
        <f>DAY(EOMONTH(Table3[[#This Row],[Month Year]],0))</f>
        <v>30</v>
      </c>
      <c r="G68" s="58">
        <f t="shared" si="2"/>
        <v>45809</v>
      </c>
      <c r="H68" s="17">
        <f>'Modelling New'!$AR$1</f>
        <v>8.0208999999999993</v>
      </c>
      <c r="I68" s="88">
        <v>0.24583333333333332</v>
      </c>
      <c r="J68" s="88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79">
        <f>SUM(Table3[[#This Row],[Inv1_U1]:[Inv1_U4]])</f>
        <v>13002</v>
      </c>
      <c r="X68" s="80">
        <f>SUM(Table3[[#This Row],[Inv2_U1]:[Inv2_U4]])</f>
        <v>12529</v>
      </c>
      <c r="Y68" s="81">
        <f>SUM(Table3[[#This Row],[Inv3_U1]:[Inv3_U4]])</f>
        <v>13340.400000000001</v>
      </c>
      <c r="Z68" s="59">
        <v>89549.1</v>
      </c>
      <c r="AA68" s="59">
        <v>402.5</v>
      </c>
      <c r="AB68" s="56"/>
      <c r="AC68" s="77">
        <v>5.88</v>
      </c>
      <c r="AD68" s="78">
        <v>0</v>
      </c>
      <c r="AE68" s="77">
        <v>39.090000000000003</v>
      </c>
      <c r="AF68" s="77">
        <v>0</v>
      </c>
      <c r="AG68" s="77">
        <v>0</v>
      </c>
      <c r="AH68" s="56"/>
      <c r="AI68" s="16">
        <f>SUM(Table3[[#This Row],[Inv1]:[Inv3]])</f>
        <v>38871.4</v>
      </c>
      <c r="AJ68" s="16">
        <f>IF((Table3[[#This Row],[33 kV Outgoinng Export Reading]]-Z67)*1000&gt;0,(Table3[[#This Row],[33 kV Outgoinng Export Reading]]-Z67)*1000,0)</f>
        <v>38600.000000005821</v>
      </c>
      <c r="AK68" s="16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67">
        <f t="shared" ref="AM68:AM73" si="6">IFERROR((J68-I68)*24,"")</f>
        <v>12.916666666666666</v>
      </c>
      <c r="AN68" s="67"/>
    </row>
    <row r="69" spans="1:40" x14ac:dyDescent="0.3">
      <c r="A69" s="171">
        <f>YEAR(Table3[[#This Row],[Date]])+IF(MONTH(Table3[[#This Row],[Date]])&gt;=4,1,0)</f>
        <v>2026</v>
      </c>
      <c r="B69" s="56">
        <f>YEAR(Table3[[#This Row],[Date]])</f>
        <v>2025</v>
      </c>
      <c r="C69" s="56" t="s">
        <v>1070</v>
      </c>
      <c r="D69" s="56" t="s">
        <v>1070</v>
      </c>
      <c r="E69" s="6" t="str">
        <f>TEXT(Table3[[#This Row],[Date]],"mmm-yy")</f>
        <v>Jun-25</v>
      </c>
      <c r="F69" s="56">
        <f>DAY(EOMONTH(Table3[[#This Row],[Month Year]],0))</f>
        <v>30</v>
      </c>
      <c r="G69" s="58">
        <f t="shared" ref="G69:G132" si="7">G68+1</f>
        <v>45810</v>
      </c>
      <c r="H69" s="17">
        <f>'Modelling New'!$AR$1</f>
        <v>8.0208999999999993</v>
      </c>
      <c r="I69" s="88">
        <v>0.24652777777777779</v>
      </c>
      <c r="J69" s="88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79">
        <f>SUM(Table3[[#This Row],[Inv1_U1]:[Inv1_U4]])</f>
        <v>10797.3</v>
      </c>
      <c r="X69" s="80">
        <f>SUM(Table3[[#This Row],[Inv2_U1]:[Inv2_U4]])</f>
        <v>10409.5</v>
      </c>
      <c r="Y69" s="81">
        <f>SUM(Table3[[#This Row],[Inv3_U1]:[Inv3_U4]])</f>
        <v>11398.6</v>
      </c>
      <c r="Z69" s="59">
        <v>89581.5</v>
      </c>
      <c r="AA69" s="59">
        <v>402.6</v>
      </c>
      <c r="AB69" s="56"/>
      <c r="AC69" s="77">
        <v>4.76</v>
      </c>
      <c r="AD69" s="78">
        <v>0</v>
      </c>
      <c r="AE69" s="77">
        <v>36.1</v>
      </c>
      <c r="AF69" s="77">
        <v>0</v>
      </c>
      <c r="AG69" s="77">
        <v>0</v>
      </c>
      <c r="AH69" s="56"/>
      <c r="AI69" s="16">
        <f>SUM(Table3[[#This Row],[Inv1]:[Inv3]])</f>
        <v>32605.4</v>
      </c>
      <c r="AJ69" s="16">
        <f>IF((Table3[[#This Row],[33 kV Outgoinng Export Reading]]-Z68)*1000&gt;0,(Table3[[#This Row],[33 kV Outgoinng Export Reading]]-Z68)*1000,0)</f>
        <v>32399.999999994179</v>
      </c>
      <c r="AK69" s="16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67">
        <f t="shared" si="6"/>
        <v>12.883333333333333</v>
      </c>
      <c r="AN69" s="67"/>
    </row>
    <row r="70" spans="1:40" x14ac:dyDescent="0.3">
      <c r="A70" s="171">
        <f>YEAR(Table3[[#This Row],[Date]])+IF(MONTH(Table3[[#This Row],[Date]])&gt;=4,1,0)</f>
        <v>2026</v>
      </c>
      <c r="B70" s="56">
        <f>YEAR(Table3[[#This Row],[Date]])</f>
        <v>2025</v>
      </c>
      <c r="C70" s="56" t="s">
        <v>1070</v>
      </c>
      <c r="D70" s="56" t="s">
        <v>1070</v>
      </c>
      <c r="E70" s="6" t="str">
        <f>TEXT(Table3[[#This Row],[Date]],"mmm-yy")</f>
        <v>Jun-25</v>
      </c>
      <c r="F70" s="56">
        <f>DAY(EOMONTH(Table3[[#This Row],[Month Year]],0))</f>
        <v>30</v>
      </c>
      <c r="G70" s="58">
        <f t="shared" si="7"/>
        <v>45811</v>
      </c>
      <c r="H70" s="17">
        <f>'Modelling New'!$AR$1</f>
        <v>8.0208999999999993</v>
      </c>
      <c r="I70" s="88">
        <v>0.25</v>
      </c>
      <c r="J70" s="88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79">
        <f>SUM(Table3[[#This Row],[Inv1_U1]:[Inv1_U4]])</f>
        <v>12134.7</v>
      </c>
      <c r="X70" s="80">
        <f>SUM(Table3[[#This Row],[Inv2_U1]:[Inv2_U4]])</f>
        <v>11724.8</v>
      </c>
      <c r="Y70" s="81">
        <f>SUM(Table3[[#This Row],[Inv3_U1]:[Inv3_U4]])</f>
        <v>12544.5</v>
      </c>
      <c r="Z70" s="59">
        <v>89617.600000000006</v>
      </c>
      <c r="AA70" s="59">
        <v>402.7</v>
      </c>
      <c r="AB70" s="56"/>
      <c r="AC70" s="77">
        <v>5.86</v>
      </c>
      <c r="AD70" s="78">
        <v>0</v>
      </c>
      <c r="AE70" s="77">
        <v>39.56</v>
      </c>
      <c r="AF70" s="77">
        <v>0</v>
      </c>
      <c r="AG70" s="77">
        <v>0</v>
      </c>
      <c r="AH70" s="56"/>
      <c r="AI70" s="16">
        <f>SUM(Table3[[#This Row],[Inv1]:[Inv3]])</f>
        <v>36404</v>
      </c>
      <c r="AJ70" s="16">
        <f>IF((Table3[[#This Row],[33 kV Outgoinng Export Reading]]-Z69)*1000&gt;0,(Table3[[#This Row],[33 kV Outgoinng Export Reading]]-Z69)*1000,0)</f>
        <v>36100.000000005821</v>
      </c>
      <c r="AK70" s="16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67">
        <f t="shared" si="6"/>
        <v>12.600000000000001</v>
      </c>
      <c r="AN70" s="67"/>
    </row>
    <row r="71" spans="1:40" x14ac:dyDescent="0.3">
      <c r="A71" s="171">
        <f>YEAR(Table3[[#This Row],[Date]])+IF(MONTH(Table3[[#This Row],[Date]])&gt;=4,1,0)</f>
        <v>2026</v>
      </c>
      <c r="B71" s="56">
        <f>YEAR(Table3[[#This Row],[Date]])</f>
        <v>2025</v>
      </c>
      <c r="C71" s="56" t="s">
        <v>1070</v>
      </c>
      <c r="D71" s="56" t="s">
        <v>1070</v>
      </c>
      <c r="E71" s="6" t="str">
        <f>TEXT(Table3[[#This Row],[Date]],"mmm-yy")</f>
        <v>Jun-25</v>
      </c>
      <c r="F71" s="56">
        <f>DAY(EOMONTH(Table3[[#This Row],[Month Year]],0))</f>
        <v>30</v>
      </c>
      <c r="G71" s="58">
        <f t="shared" si="7"/>
        <v>45812</v>
      </c>
      <c r="H71" s="17">
        <f>'Modelling New'!$AR$1</f>
        <v>8.0208999999999993</v>
      </c>
      <c r="I71" s="88">
        <v>0.24722222222222223</v>
      </c>
      <c r="J71" s="88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79">
        <f>SUM(Table3[[#This Row],[Inv1_U1]:[Inv1_U4]])</f>
        <v>13819.8</v>
      </c>
      <c r="X71" s="80">
        <f>SUM(Table3[[#This Row],[Inv2_U1]:[Inv2_U4]])</f>
        <v>13312.7</v>
      </c>
      <c r="Y71" s="81">
        <f>SUM(Table3[[#This Row],[Inv3_U1]:[Inv3_U4]])</f>
        <v>14080.2</v>
      </c>
      <c r="Z71" s="59">
        <v>89658.45</v>
      </c>
      <c r="AA71" s="59">
        <v>402.8</v>
      </c>
      <c r="AB71" s="56"/>
      <c r="AC71" s="77">
        <v>6.25</v>
      </c>
      <c r="AD71" s="78">
        <v>0</v>
      </c>
      <c r="AE71" s="77">
        <v>41.45</v>
      </c>
      <c r="AF71" s="77">
        <v>0</v>
      </c>
      <c r="AG71" s="77">
        <v>0</v>
      </c>
      <c r="AH71" s="56"/>
      <c r="AI71" s="16">
        <f>SUM(Table3[[#This Row],[Inv1]:[Inv3]])</f>
        <v>41212.699999999997</v>
      </c>
      <c r="AJ71" s="16">
        <f>IF((Table3[[#This Row],[33 kV Outgoinng Export Reading]]-Z70)*1000&gt;0,(Table3[[#This Row],[33 kV Outgoinng Export Reading]]-Z70)*1000,0)</f>
        <v>40849.999999991269</v>
      </c>
      <c r="AK71" s="16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67">
        <f t="shared" si="6"/>
        <v>12.733333333333334</v>
      </c>
      <c r="AN71" s="67"/>
    </row>
    <row r="72" spans="1:40" x14ac:dyDescent="0.3">
      <c r="A72" s="171">
        <f>YEAR(Table3[[#This Row],[Date]])+IF(MONTH(Table3[[#This Row],[Date]])&gt;=4,1,0)</f>
        <v>2026</v>
      </c>
      <c r="B72" s="56">
        <f>YEAR(Table3[[#This Row],[Date]])</f>
        <v>2025</v>
      </c>
      <c r="C72" s="56" t="s">
        <v>1070</v>
      </c>
      <c r="D72" s="56" t="s">
        <v>1070</v>
      </c>
      <c r="E72" s="6" t="str">
        <f>TEXT(Table3[[#This Row],[Date]],"mmm-yy")</f>
        <v>Jun-25</v>
      </c>
      <c r="F72" s="56">
        <f>DAY(EOMONTH(Table3[[#This Row],[Month Year]],0))</f>
        <v>30</v>
      </c>
      <c r="G72" s="58">
        <f t="shared" si="7"/>
        <v>45813</v>
      </c>
      <c r="H72" s="17">
        <f>'Modelling New'!$AR$1</f>
        <v>8.0208999999999993</v>
      </c>
      <c r="I72" s="88">
        <v>0.25</v>
      </c>
      <c r="J72" s="88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79">
        <f>SUM(Table3[[#This Row],[Inv1_U1]:[Inv1_U4]])</f>
        <v>9352</v>
      </c>
      <c r="X72" s="80">
        <f>SUM(Table3[[#This Row],[Inv2_U1]:[Inv2_U4]])</f>
        <v>8954.7000000000007</v>
      </c>
      <c r="Y72" s="81">
        <f>SUM(Table3[[#This Row],[Inv3_U1]:[Inv3_U4]])</f>
        <v>9416</v>
      </c>
      <c r="Z72" s="59">
        <v>89685.95</v>
      </c>
      <c r="AA72" s="59">
        <v>402.9</v>
      </c>
      <c r="AB72" s="56"/>
      <c r="AC72" s="77">
        <v>4.03</v>
      </c>
      <c r="AD72" s="78">
        <v>0</v>
      </c>
      <c r="AE72" s="77">
        <v>37.67</v>
      </c>
      <c r="AF72" s="77">
        <v>0</v>
      </c>
      <c r="AG72" s="77">
        <v>0</v>
      </c>
      <c r="AH72" s="56"/>
      <c r="AI72" s="16">
        <f>SUM(Table3[[#This Row],[Inv1]:[Inv3]])</f>
        <v>27722.7</v>
      </c>
      <c r="AJ72" s="16">
        <f>IF((Table3[[#This Row],[33 kV Outgoinng Export Reading]]-Z71)*1000&gt;0,(Table3[[#This Row],[33 kV Outgoinng Export Reading]]-Z71)*1000,0)</f>
        <v>27500</v>
      </c>
      <c r="AK72" s="16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67">
        <f t="shared" si="6"/>
        <v>12.616666666666667</v>
      </c>
      <c r="AN72" s="67"/>
    </row>
    <row r="73" spans="1:40" x14ac:dyDescent="0.3">
      <c r="A73" s="171">
        <f>YEAR(Table3[[#This Row],[Date]])+IF(MONTH(Table3[[#This Row],[Date]])&gt;=4,1,0)</f>
        <v>2026</v>
      </c>
      <c r="B73" s="56">
        <f>YEAR(Table3[[#This Row],[Date]])</f>
        <v>2025</v>
      </c>
      <c r="C73" s="56" t="s">
        <v>1070</v>
      </c>
      <c r="D73" s="56" t="s">
        <v>1070</v>
      </c>
      <c r="E73" s="6" t="str">
        <f>TEXT(Table3[[#This Row],[Date]],"mmm-yy")</f>
        <v>Jun-25</v>
      </c>
      <c r="F73" s="56">
        <f>DAY(EOMONTH(Table3[[#This Row],[Month Year]],0))</f>
        <v>30</v>
      </c>
      <c r="G73" s="58">
        <f t="shared" si="7"/>
        <v>45814</v>
      </c>
      <c r="H73" s="17">
        <f>'Modelling New'!$AR$1</f>
        <v>8.0208999999999993</v>
      </c>
      <c r="I73" s="88">
        <v>0.24930555555555556</v>
      </c>
      <c r="J73" s="88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79">
        <f>SUM(Table3[[#This Row],[Inv1_U1]:[Inv1_U4]])</f>
        <v>10131.099999999999</v>
      </c>
      <c r="X73" s="80">
        <f>SUM(Table3[[#This Row],[Inv2_U1]:[Inv2_U4]])</f>
        <v>9673.9000000000015</v>
      </c>
      <c r="Y73" s="81">
        <f>SUM(Table3[[#This Row],[Inv3_U1]:[Inv3_U4]])</f>
        <v>10407.799999999999</v>
      </c>
      <c r="Z73" s="59">
        <v>89715.9</v>
      </c>
      <c r="AA73" s="59">
        <v>403</v>
      </c>
      <c r="AB73" s="56"/>
      <c r="AC73" s="77">
        <v>4.75</v>
      </c>
      <c r="AD73" s="78">
        <v>0</v>
      </c>
      <c r="AE73" s="77">
        <v>41.22</v>
      </c>
      <c r="AF73" s="77">
        <v>0</v>
      </c>
      <c r="AG73" s="77">
        <v>0</v>
      </c>
      <c r="AH73" s="56"/>
      <c r="AI73" s="16">
        <f>SUM(Table3[[#This Row],[Inv1]:[Inv3]])</f>
        <v>30212.799999999999</v>
      </c>
      <c r="AJ73" s="16">
        <f>IF((Table3[[#This Row],[33 kV Outgoinng Export Reading]]-Z72)*1000&gt;0,(Table3[[#This Row],[33 kV Outgoinng Export Reading]]-Z72)*1000,0)</f>
        <v>29949.99999999709</v>
      </c>
      <c r="AK73" s="16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67">
        <f t="shared" si="6"/>
        <v>12.483333333333334</v>
      </c>
      <c r="AN73" s="67"/>
    </row>
    <row r="74" spans="1:40" x14ac:dyDescent="0.3">
      <c r="A74" s="171">
        <f>YEAR(Table3[[#This Row],[Date]])+IF(MONTH(Table3[[#This Row],[Date]])&gt;=4,1,0)</f>
        <v>2026</v>
      </c>
      <c r="B74" s="56">
        <f>YEAR(Table3[[#This Row],[Date]])</f>
        <v>2025</v>
      </c>
      <c r="C74" s="56" t="s">
        <v>1070</v>
      </c>
      <c r="D74" s="56" t="s">
        <v>1070</v>
      </c>
      <c r="E74" s="6" t="str">
        <f>TEXT(Table3[[#This Row],[Date]],"mmm-yy")</f>
        <v>Jun-25</v>
      </c>
      <c r="F74" s="56">
        <f>DAY(EOMONTH(Table3[[#This Row],[Month Year]],0))</f>
        <v>30</v>
      </c>
      <c r="G74" s="58">
        <f t="shared" si="7"/>
        <v>45815</v>
      </c>
      <c r="H74" s="17">
        <f>'Modelling New'!$AR$1</f>
        <v>8.0208999999999993</v>
      </c>
      <c r="I74" s="88">
        <v>0.24444444444444444</v>
      </c>
      <c r="J74" s="88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79">
        <f>SUM(Table3[[#This Row],[Inv1_U1]:[Inv1_U4]])</f>
        <v>8476.2999999999993</v>
      </c>
      <c r="X74" s="80">
        <f>SUM(Table3[[#This Row],[Inv2_U1]:[Inv2_U4]])</f>
        <v>8141.7999999999993</v>
      </c>
      <c r="Y74" s="81">
        <f>SUM(Table3[[#This Row],[Inv3_U1]:[Inv3_U4]])</f>
        <v>8662</v>
      </c>
      <c r="Z74" s="59">
        <v>89740.95</v>
      </c>
      <c r="AA74" s="59">
        <v>403.1</v>
      </c>
      <c r="AB74" s="56"/>
      <c r="AC74" s="77">
        <v>4.29</v>
      </c>
      <c r="AD74" s="78">
        <v>0</v>
      </c>
      <c r="AE74" s="77">
        <v>37.89</v>
      </c>
      <c r="AF74" s="77">
        <v>0</v>
      </c>
      <c r="AG74" s="77">
        <v>0</v>
      </c>
      <c r="AH74" s="56"/>
      <c r="AI74" s="16">
        <f>SUM(Table3[[#This Row],[Inv1]:[Inv3]])</f>
        <v>25280.1</v>
      </c>
      <c r="AJ74" s="16">
        <f>IF((Table3[[#This Row],[33 kV Outgoinng Export Reading]]-Z73)*1000&gt;0,(Table3[[#This Row],[33 kV Outgoinng Export Reading]]-Z73)*1000,0)</f>
        <v>25050.00000000291</v>
      </c>
      <c r="AK74" s="16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67">
        <f t="shared" ref="AM74:AM79" si="8">IFERROR((J74-I74)*24,"")</f>
        <v>12.933333333333334</v>
      </c>
      <c r="AN74" s="67"/>
    </row>
    <row r="75" spans="1:40" x14ac:dyDescent="0.3">
      <c r="A75" s="171">
        <f>YEAR(Table3[[#This Row],[Date]])+IF(MONTH(Table3[[#This Row],[Date]])&gt;=4,1,0)</f>
        <v>2026</v>
      </c>
      <c r="B75" s="56">
        <f>YEAR(Table3[[#This Row],[Date]])</f>
        <v>2025</v>
      </c>
      <c r="C75" s="56" t="s">
        <v>1070</v>
      </c>
      <c r="D75" s="56" t="s">
        <v>1070</v>
      </c>
      <c r="E75" s="6" t="str">
        <f>TEXT(Table3[[#This Row],[Date]],"mmm-yy")</f>
        <v>Jun-25</v>
      </c>
      <c r="F75" s="56">
        <f>DAY(EOMONTH(Table3[[#This Row],[Month Year]],0))</f>
        <v>30</v>
      </c>
      <c r="G75" s="58">
        <f t="shared" si="7"/>
        <v>45816</v>
      </c>
      <c r="H75" s="17">
        <f>'Modelling New'!$AR$1</f>
        <v>8.0208999999999993</v>
      </c>
      <c r="I75" s="88">
        <v>0.24444444444444444</v>
      </c>
      <c r="J75" s="88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79">
        <f>SUM(Table3[[#This Row],[Inv1_U1]:[Inv1_U4]])</f>
        <v>10743</v>
      </c>
      <c r="X75" s="80">
        <f>SUM(Table3[[#This Row],[Inv2_U1]:[Inv2_U4]])</f>
        <v>10288.799999999999</v>
      </c>
      <c r="Y75" s="81">
        <f>SUM(Table3[[#This Row],[Inv3_U1]:[Inv3_U4]])</f>
        <v>10887.400000000001</v>
      </c>
      <c r="Z75" s="59">
        <v>89772.6</v>
      </c>
      <c r="AA75" s="59">
        <v>403.2</v>
      </c>
      <c r="AB75" s="56"/>
      <c r="AC75" s="77">
        <v>4.79</v>
      </c>
      <c r="AD75" s="78">
        <v>0</v>
      </c>
      <c r="AE75" s="77">
        <v>38.24</v>
      </c>
      <c r="AF75" s="77">
        <v>0</v>
      </c>
      <c r="AG75" s="77">
        <v>0</v>
      </c>
      <c r="AH75" s="56"/>
      <c r="AI75" s="16">
        <f>SUM(Table3[[#This Row],[Inv1]:[Inv3]])</f>
        <v>31919.200000000001</v>
      </c>
      <c r="AJ75" s="16">
        <f>IF((Table3[[#This Row],[33 kV Outgoinng Export Reading]]-Z74)*1000&gt;0,(Table3[[#This Row],[33 kV Outgoinng Export Reading]]-Z74)*1000,0)</f>
        <v>31650.000000008731</v>
      </c>
      <c r="AK75" s="16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67">
        <f t="shared" si="8"/>
        <v>12.533333333333335</v>
      </c>
      <c r="AN75" s="67"/>
    </row>
    <row r="76" spans="1:40" x14ac:dyDescent="0.3">
      <c r="A76" s="171">
        <f>YEAR(Table3[[#This Row],[Date]])+IF(MONTH(Table3[[#This Row],[Date]])&gt;=4,1,0)</f>
        <v>2026</v>
      </c>
      <c r="B76" s="56">
        <f>YEAR(Table3[[#This Row],[Date]])</f>
        <v>2025</v>
      </c>
      <c r="C76" s="56" t="s">
        <v>1070</v>
      </c>
      <c r="D76" s="56" t="s">
        <v>1070</v>
      </c>
      <c r="E76" s="6" t="str">
        <f>TEXT(Table3[[#This Row],[Date]],"mmm-yy")</f>
        <v>Jun-25</v>
      </c>
      <c r="F76" s="56">
        <f>DAY(EOMONTH(Table3[[#This Row],[Month Year]],0))</f>
        <v>30</v>
      </c>
      <c r="G76" s="58">
        <f t="shared" si="7"/>
        <v>45817</v>
      </c>
      <c r="H76" s="17">
        <f>'Modelling New'!$AR$1</f>
        <v>8.0208999999999993</v>
      </c>
      <c r="I76" s="88">
        <v>0.27916666666666667</v>
      </c>
      <c r="J76" s="88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79">
        <f>SUM(Table3[[#This Row],[Inv1_U1]:[Inv1_U4]])</f>
        <v>1591</v>
      </c>
      <c r="X76" s="80">
        <f>SUM(Table3[[#This Row],[Inv2_U1]:[Inv2_U4]])</f>
        <v>1511.5</v>
      </c>
      <c r="Y76" s="81">
        <f>SUM(Table3[[#This Row],[Inv3_U1]:[Inv3_U4]])</f>
        <v>1578.5000000000002</v>
      </c>
      <c r="Z76" s="59">
        <v>89777.2</v>
      </c>
      <c r="AA76" s="59">
        <v>403.3</v>
      </c>
      <c r="AB76" s="56"/>
      <c r="AC76" s="77">
        <v>1.05</v>
      </c>
      <c r="AD76" s="78">
        <v>0</v>
      </c>
      <c r="AE76" s="77">
        <v>26.95</v>
      </c>
      <c r="AF76" s="77">
        <v>0</v>
      </c>
      <c r="AG76" s="77">
        <v>0</v>
      </c>
      <c r="AH76" s="56"/>
      <c r="AI76" s="16">
        <f>SUM(Table3[[#This Row],[Inv1]:[Inv3]])</f>
        <v>4681</v>
      </c>
      <c r="AJ76" s="16">
        <f>IF((Table3[[#This Row],[33 kV Outgoinng Export Reading]]-Z75)*1000&gt;0,(Table3[[#This Row],[33 kV Outgoinng Export Reading]]-Z75)*1000,0)</f>
        <v>4599.9999999912689</v>
      </c>
      <c r="AK76" s="16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67">
        <f t="shared" si="8"/>
        <v>12.1</v>
      </c>
      <c r="AN76" s="67"/>
    </row>
    <row r="77" spans="1:40" x14ac:dyDescent="0.3">
      <c r="A77" s="171">
        <f>YEAR(Table3[[#This Row],[Date]])+IF(MONTH(Table3[[#This Row],[Date]])&gt;=4,1,0)</f>
        <v>2026</v>
      </c>
      <c r="B77" s="56">
        <f>YEAR(Table3[[#This Row],[Date]])</f>
        <v>2025</v>
      </c>
      <c r="C77" s="56" t="s">
        <v>1070</v>
      </c>
      <c r="D77" s="56" t="s">
        <v>1070</v>
      </c>
      <c r="E77" s="6" t="str">
        <f>TEXT(Table3[[#This Row],[Date]],"mmm-yy")</f>
        <v>Jun-25</v>
      </c>
      <c r="F77" s="56">
        <f>DAY(EOMONTH(Table3[[#This Row],[Month Year]],0))</f>
        <v>30</v>
      </c>
      <c r="G77" s="58">
        <f t="shared" si="7"/>
        <v>45818</v>
      </c>
      <c r="H77" s="17">
        <f>'Modelling New'!$AR$1</f>
        <v>8.0208999999999993</v>
      </c>
      <c r="I77" s="88">
        <v>0.24930555555555556</v>
      </c>
      <c r="J77" s="88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79">
        <f>SUM(Table3[[#This Row],[Inv1_U1]:[Inv1_U4]])</f>
        <v>3805.9</v>
      </c>
      <c r="X77" s="80">
        <f>SUM(Table3[[#This Row],[Inv2_U1]:[Inv2_U4]])</f>
        <v>3619.1</v>
      </c>
      <c r="Y77" s="81">
        <f>SUM(Table3[[#This Row],[Inv3_U1]:[Inv3_U4]])</f>
        <v>3779.9000000000005</v>
      </c>
      <c r="Z77" s="59">
        <v>89788.3</v>
      </c>
      <c r="AA77" s="59">
        <v>403.4</v>
      </c>
      <c r="AB77" s="56"/>
      <c r="AC77" s="77">
        <v>1.62</v>
      </c>
      <c r="AD77" s="78">
        <v>0</v>
      </c>
      <c r="AE77" s="77">
        <v>28.69</v>
      </c>
      <c r="AF77" s="77">
        <v>0</v>
      </c>
      <c r="AG77" s="77">
        <v>0</v>
      </c>
      <c r="AH77" s="56"/>
      <c r="AI77" s="16">
        <f>SUM(Table3[[#This Row],[Inv1]:[Inv3]])</f>
        <v>11204.900000000001</v>
      </c>
      <c r="AJ77" s="16">
        <f>IF((Table3[[#This Row],[33 kV Outgoinng Export Reading]]-Z76)*1000&gt;0,(Table3[[#This Row],[33 kV Outgoinng Export Reading]]-Z76)*1000,0)</f>
        <v>11100.000000005821</v>
      </c>
      <c r="AK77" s="16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67">
        <f t="shared" si="8"/>
        <v>12.616666666666667</v>
      </c>
      <c r="AN77" s="67"/>
    </row>
    <row r="78" spans="1:40" x14ac:dyDescent="0.3">
      <c r="A78" s="171">
        <f>YEAR(Table3[[#This Row],[Date]])+IF(MONTH(Table3[[#This Row],[Date]])&gt;=4,1,0)</f>
        <v>2026</v>
      </c>
      <c r="B78" s="56">
        <f>YEAR(Table3[[#This Row],[Date]])</f>
        <v>2025</v>
      </c>
      <c r="C78" s="56" t="s">
        <v>1070</v>
      </c>
      <c r="D78" s="56" t="s">
        <v>1070</v>
      </c>
      <c r="E78" s="6" t="str">
        <f>TEXT(Table3[[#This Row],[Date]],"mmm-yy")</f>
        <v>Jun-25</v>
      </c>
      <c r="F78" s="56">
        <f>DAY(EOMONTH(Table3[[#This Row],[Month Year]],0))</f>
        <v>30</v>
      </c>
      <c r="G78" s="58">
        <f t="shared" si="7"/>
        <v>45819</v>
      </c>
      <c r="H78" s="17">
        <f>'Modelling New'!$AR$1</f>
        <v>8.0208999999999993</v>
      </c>
      <c r="I78" s="88">
        <v>0.25486111111111109</v>
      </c>
      <c r="J78" s="88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79">
        <f>SUM(Table3[[#This Row],[Inv1_U1]:[Inv1_U4]])</f>
        <v>8499.7000000000007</v>
      </c>
      <c r="X78" s="80">
        <f>SUM(Table3[[#This Row],[Inv2_U1]:[Inv2_U4]])</f>
        <v>8169.9999999999991</v>
      </c>
      <c r="Y78" s="81">
        <f>SUM(Table3[[#This Row],[Inv3_U1]:[Inv3_U4]])</f>
        <v>8575.3000000000011</v>
      </c>
      <c r="Z78" s="59">
        <v>89813.3</v>
      </c>
      <c r="AA78" s="59">
        <v>403.5</v>
      </c>
      <c r="AB78" s="56"/>
      <c r="AC78" s="77">
        <v>3.59</v>
      </c>
      <c r="AD78" s="78">
        <v>0</v>
      </c>
      <c r="AE78" s="77">
        <v>32.619999999999997</v>
      </c>
      <c r="AF78" s="77">
        <v>0</v>
      </c>
      <c r="AG78" s="77">
        <v>0</v>
      </c>
      <c r="AH78" s="56"/>
      <c r="AI78" s="16">
        <f>SUM(Table3[[#This Row],[Inv1]:[Inv3]])</f>
        <v>25245</v>
      </c>
      <c r="AJ78" s="16">
        <f>IF((Table3[[#This Row],[33 kV Outgoinng Export Reading]]-Z77)*1000&gt;0,(Table3[[#This Row],[33 kV Outgoinng Export Reading]]-Z77)*1000,0)</f>
        <v>25000</v>
      </c>
      <c r="AK78" s="16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67">
        <f t="shared" si="8"/>
        <v>12.566666666666666</v>
      </c>
      <c r="AN78" s="67"/>
    </row>
    <row r="79" spans="1:40" x14ac:dyDescent="0.3">
      <c r="A79" s="171">
        <f>YEAR(Table3[[#This Row],[Date]])+IF(MONTH(Table3[[#This Row],[Date]])&gt;=4,1,0)</f>
        <v>2026</v>
      </c>
      <c r="B79" s="56">
        <f>YEAR(Table3[[#This Row],[Date]])</f>
        <v>2025</v>
      </c>
      <c r="C79" s="56" t="s">
        <v>1070</v>
      </c>
      <c r="D79" s="56" t="s">
        <v>1070</v>
      </c>
      <c r="E79" s="6" t="str">
        <f>TEXT(Table3[[#This Row],[Date]],"mmm-yy")</f>
        <v>Jun-25</v>
      </c>
      <c r="F79" s="56">
        <f>DAY(EOMONTH(Table3[[#This Row],[Month Year]],0))</f>
        <v>30</v>
      </c>
      <c r="G79" s="58">
        <f t="shared" si="7"/>
        <v>45820</v>
      </c>
      <c r="H79" s="17">
        <f>'Modelling New'!$AR$1</f>
        <v>8.0208999999999993</v>
      </c>
      <c r="I79" s="88">
        <v>0.24722222222222223</v>
      </c>
      <c r="J79" s="88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79">
        <f>SUM(Table3[[#This Row],[Inv1_U1]:[Inv1_U4]])</f>
        <v>8752.2999999999993</v>
      </c>
      <c r="X79" s="80">
        <f>SUM(Table3[[#This Row],[Inv2_U1]:[Inv2_U4]])</f>
        <v>8344.6</v>
      </c>
      <c r="Y79" s="81">
        <f>SUM(Table3[[#This Row],[Inv3_U1]:[Inv3_U4]])</f>
        <v>8827.3000000000011</v>
      </c>
      <c r="Z79" s="59">
        <v>89839</v>
      </c>
      <c r="AA79" s="59">
        <v>403.6</v>
      </c>
      <c r="AB79" s="56"/>
      <c r="AC79" s="77">
        <v>3.8</v>
      </c>
      <c r="AD79" s="78">
        <v>0</v>
      </c>
      <c r="AE79" s="77">
        <v>36.04</v>
      </c>
      <c r="AF79" s="77">
        <v>0</v>
      </c>
      <c r="AG79" s="77">
        <v>0</v>
      </c>
      <c r="AH79" s="56"/>
      <c r="AI79" s="16">
        <f>SUM(Table3[[#This Row],[Inv1]:[Inv3]])</f>
        <v>25924.200000000004</v>
      </c>
      <c r="AJ79" s="16">
        <f>IF((Table3[[#This Row],[33 kV Outgoinng Export Reading]]-Z78)*1000&gt;0,(Table3[[#This Row],[33 kV Outgoinng Export Reading]]-Z78)*1000,0)</f>
        <v>25699.99999999709</v>
      </c>
      <c r="AK79" s="16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67">
        <f t="shared" si="8"/>
        <v>12.633333333333333</v>
      </c>
      <c r="AN79" s="67"/>
    </row>
    <row r="80" spans="1:40" x14ac:dyDescent="0.3">
      <c r="A80" s="171">
        <f>YEAR(Table3[[#This Row],[Date]])+IF(MONTH(Table3[[#This Row],[Date]])&gt;=4,1,0)</f>
        <v>2026</v>
      </c>
      <c r="B80" s="56">
        <f>YEAR(Table3[[#This Row],[Date]])</f>
        <v>2025</v>
      </c>
      <c r="C80" s="56" t="s">
        <v>1070</v>
      </c>
      <c r="D80" s="56" t="s">
        <v>1070</v>
      </c>
      <c r="E80" s="6" t="str">
        <f>TEXT(Table3[[#This Row],[Date]],"mmm-yy")</f>
        <v>Jun-25</v>
      </c>
      <c r="F80" s="56">
        <f>DAY(EOMONTH(Table3[[#This Row],[Month Year]],0))</f>
        <v>30</v>
      </c>
      <c r="G80" s="58">
        <f t="shared" si="7"/>
        <v>45821</v>
      </c>
      <c r="H80" s="17">
        <f>'Modelling New'!$AR$1</f>
        <v>8.0208999999999993</v>
      </c>
      <c r="I80" s="88">
        <v>0.24722222222222223</v>
      </c>
      <c r="J80" s="88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79">
        <f>SUM(Table3[[#This Row],[Inv1_U1]:[Inv1_U4]])</f>
        <v>9372.6</v>
      </c>
      <c r="X80" s="80">
        <f>SUM(Table3[[#This Row],[Inv2_U1]:[Inv2_U4]])</f>
        <v>8961.7000000000007</v>
      </c>
      <c r="Y80" s="81">
        <f>SUM(Table3[[#This Row],[Inv3_U1]:[Inv3_U4]])</f>
        <v>9522.2999999999993</v>
      </c>
      <c r="Z80" s="59">
        <v>89866.6</v>
      </c>
      <c r="AA80" s="59">
        <v>403.7</v>
      </c>
      <c r="AB80" s="56"/>
      <c r="AC80" s="77">
        <v>4.26</v>
      </c>
      <c r="AD80" s="78">
        <v>0</v>
      </c>
      <c r="AE80" s="77">
        <v>38.42</v>
      </c>
      <c r="AF80" s="77">
        <v>0</v>
      </c>
      <c r="AG80" s="77">
        <v>0</v>
      </c>
      <c r="AH80" s="56"/>
      <c r="AI80" s="16">
        <f>SUM(Table3[[#This Row],[Inv1]:[Inv3]])</f>
        <v>27856.600000000002</v>
      </c>
      <c r="AJ80" s="16">
        <f>IF((Table3[[#This Row],[33 kV Outgoinng Export Reading]]-Z79)*1000&gt;0,(Table3[[#This Row],[33 kV Outgoinng Export Reading]]-Z79)*1000,0)</f>
        <v>27600.000000005821</v>
      </c>
      <c r="AK80" s="16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67">
        <f>IFERROR((J80-I80)*24,"")</f>
        <v>12.683333333333334</v>
      </c>
      <c r="AN80" s="67"/>
    </row>
    <row r="81" spans="1:40" x14ac:dyDescent="0.3">
      <c r="A81" s="171">
        <f>YEAR(Table3[[#This Row],[Date]])+IF(MONTH(Table3[[#This Row],[Date]])&gt;=4,1,0)</f>
        <v>2026</v>
      </c>
      <c r="B81" s="56">
        <f>YEAR(Table3[[#This Row],[Date]])</f>
        <v>2025</v>
      </c>
      <c r="C81" s="56" t="s">
        <v>1070</v>
      </c>
      <c r="D81" s="56" t="s">
        <v>1070</v>
      </c>
      <c r="E81" s="6" t="str">
        <f>TEXT(Table3[[#This Row],[Date]],"mmm-yy")</f>
        <v>Jun-25</v>
      </c>
      <c r="F81" s="56">
        <f>DAY(EOMONTH(Table3[[#This Row],[Month Year]],0))</f>
        <v>30</v>
      </c>
      <c r="G81" s="58">
        <f t="shared" si="7"/>
        <v>45822</v>
      </c>
      <c r="H81" s="17">
        <f>'Modelling New'!$AR$1</f>
        <v>8.0208999999999993</v>
      </c>
      <c r="I81" s="88">
        <v>0.24513888888888888</v>
      </c>
      <c r="J81" s="88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79">
        <f>SUM(Table3[[#This Row],[Inv1_U1]:[Inv1_U4]])</f>
        <v>6694</v>
      </c>
      <c r="X81" s="80">
        <f>SUM(Table3[[#This Row],[Inv2_U1]:[Inv2_U4]])</f>
        <v>6482.2</v>
      </c>
      <c r="Y81" s="81">
        <f>SUM(Table3[[#This Row],[Inv3_U1]:[Inv3_U4]])</f>
        <v>6829.7999999999993</v>
      </c>
      <c r="Z81" s="59">
        <v>89886.399999999994</v>
      </c>
      <c r="AA81" s="59">
        <v>403.8</v>
      </c>
      <c r="AB81" s="56"/>
      <c r="AC81" s="77">
        <v>3.77</v>
      </c>
      <c r="AD81" s="78">
        <v>0</v>
      </c>
      <c r="AE81" s="77">
        <v>35.770000000000003</v>
      </c>
      <c r="AF81" s="77">
        <v>0</v>
      </c>
      <c r="AG81" s="77">
        <v>0</v>
      </c>
      <c r="AH81" s="56"/>
      <c r="AI81" s="16">
        <f>SUM(Table3[[#This Row],[Inv1]:[Inv3]])</f>
        <v>20006</v>
      </c>
      <c r="AJ81" s="16">
        <f>IF((Table3[[#This Row],[33 kV Outgoinng Export Reading]]-Z80)*1000&gt;0,(Table3[[#This Row],[33 kV Outgoinng Export Reading]]-Z80)*1000,0)</f>
        <v>19799.999999988358</v>
      </c>
      <c r="AK81" s="16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67">
        <f t="shared" ref="AM81:AM82" si="9">IFERROR((J81-I81)*24,"")</f>
        <v>12.883333333333333</v>
      </c>
      <c r="AN81" s="67"/>
    </row>
    <row r="82" spans="1:40" x14ac:dyDescent="0.3">
      <c r="A82" s="171">
        <f>YEAR(Table3[[#This Row],[Date]])+IF(MONTH(Table3[[#This Row],[Date]])&gt;=4,1,0)</f>
        <v>2026</v>
      </c>
      <c r="B82" s="56">
        <f>YEAR(Table3[[#This Row],[Date]])</f>
        <v>2025</v>
      </c>
      <c r="C82" s="56" t="s">
        <v>1070</v>
      </c>
      <c r="D82" s="56" t="s">
        <v>1070</v>
      </c>
      <c r="E82" s="6" t="str">
        <f>TEXT(Table3[[#This Row],[Date]],"mmm-yy")</f>
        <v>Jun-25</v>
      </c>
      <c r="F82" s="56">
        <f>DAY(EOMONTH(Table3[[#This Row],[Month Year]],0))</f>
        <v>30</v>
      </c>
      <c r="G82" s="58">
        <f t="shared" si="7"/>
        <v>45823</v>
      </c>
      <c r="H82" s="17">
        <f>'Modelling New'!$AR$1</f>
        <v>8.0208999999999993</v>
      </c>
      <c r="I82" s="88">
        <v>0.24791666666666667</v>
      </c>
      <c r="J82" s="88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79">
        <f>SUM(Table3[[#This Row],[Inv1_U1]:[Inv1_U4]])</f>
        <v>8662.5</v>
      </c>
      <c r="X82" s="80">
        <f>SUM(Table3[[#This Row],[Inv2_U1]:[Inv2_U4]])</f>
        <v>8355.6</v>
      </c>
      <c r="Y82" s="81">
        <f>SUM(Table3[[#This Row],[Inv3_U1]:[Inv3_U4]])</f>
        <v>8879.1</v>
      </c>
      <c r="Z82" s="59">
        <v>89912.05</v>
      </c>
      <c r="AA82" s="59">
        <v>403.9</v>
      </c>
      <c r="AB82" s="56"/>
      <c r="AC82" s="77">
        <v>3.78</v>
      </c>
      <c r="AD82" s="78">
        <v>0</v>
      </c>
      <c r="AE82" s="77">
        <v>33.58</v>
      </c>
      <c r="AF82" s="77">
        <v>0</v>
      </c>
      <c r="AG82" s="77">
        <v>0</v>
      </c>
      <c r="AH82" s="56"/>
      <c r="AI82" s="16">
        <f>SUM(Table3[[#This Row],[Inv1]:[Inv3]])</f>
        <v>25897.199999999997</v>
      </c>
      <c r="AJ82" s="16">
        <f>IF((Table3[[#This Row],[33 kV Outgoinng Export Reading]]-Z81)*1000&gt;0,(Table3[[#This Row],[33 kV Outgoinng Export Reading]]-Z81)*1000,0)</f>
        <v>25650.000000008731</v>
      </c>
      <c r="AK82" s="16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67">
        <f t="shared" si="9"/>
        <v>12.666666666666668</v>
      </c>
      <c r="AN82" s="67"/>
    </row>
    <row r="83" spans="1:40" x14ac:dyDescent="0.3">
      <c r="A83" s="171">
        <f>YEAR(Table3[[#This Row],[Date]])+IF(MONTH(Table3[[#This Row],[Date]])&gt;=4,1,0)</f>
        <v>2026</v>
      </c>
      <c r="B83" s="56">
        <f>YEAR(Table3[[#This Row],[Date]])</f>
        <v>2025</v>
      </c>
      <c r="C83" s="56" t="s">
        <v>1070</v>
      </c>
      <c r="D83" s="56" t="s">
        <v>1070</v>
      </c>
      <c r="E83" s="6" t="str">
        <f>TEXT(Table3[[#This Row],[Date]],"mmm-yy")</f>
        <v>Jun-25</v>
      </c>
      <c r="F83" s="56">
        <f>DAY(EOMONTH(Table3[[#This Row],[Month Year]],0))</f>
        <v>30</v>
      </c>
      <c r="G83" s="58">
        <f t="shared" si="7"/>
        <v>45824</v>
      </c>
      <c r="H83" s="17">
        <f>'Modelling New'!$AR$1</f>
        <v>8.0208999999999993</v>
      </c>
      <c r="I83" s="88">
        <v>0.24444444444444444</v>
      </c>
      <c r="J83" s="88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79">
        <f>SUM(Table3[[#This Row],[Inv1_U1]:[Inv1_U4]])</f>
        <v>8320.5</v>
      </c>
      <c r="X83" s="80">
        <f>SUM(Table3[[#This Row],[Inv2_U1]:[Inv2_U4]])</f>
        <v>7947.8</v>
      </c>
      <c r="Y83" s="81">
        <f>SUM(Table3[[#This Row],[Inv3_U1]:[Inv3_U4]])</f>
        <v>8497.9</v>
      </c>
      <c r="Z83" s="59">
        <v>89936.6</v>
      </c>
      <c r="AA83" s="59">
        <v>404</v>
      </c>
      <c r="AB83" s="56"/>
      <c r="AC83" s="77">
        <v>3.67</v>
      </c>
      <c r="AD83" s="78">
        <v>0</v>
      </c>
      <c r="AE83" s="77">
        <v>32.799999999999997</v>
      </c>
      <c r="AF83" s="77">
        <v>0</v>
      </c>
      <c r="AG83" s="77">
        <v>0</v>
      </c>
      <c r="AH83" s="56"/>
      <c r="AI83" s="16">
        <f>SUM(Table3[[#This Row],[Inv1]:[Inv3]])</f>
        <v>24766.199999999997</v>
      </c>
      <c r="AJ83" s="16">
        <f>IF((Table3[[#This Row],[33 kV Outgoinng Export Reading]]-Z82)*1000&gt;0,(Table3[[#This Row],[33 kV Outgoinng Export Reading]]-Z82)*1000,0)</f>
        <v>24550.00000000291</v>
      </c>
      <c r="AK83" s="16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67">
        <f t="shared" ref="AM83:AM84" si="10">IFERROR((J83-I83)*24,"")</f>
        <v>12.933333333333334</v>
      </c>
      <c r="AN83" s="67"/>
    </row>
    <row r="84" spans="1:40" x14ac:dyDescent="0.3">
      <c r="A84" s="171">
        <f>YEAR(Table3[[#This Row],[Date]])+IF(MONTH(Table3[[#This Row],[Date]])&gt;=4,1,0)</f>
        <v>2026</v>
      </c>
      <c r="B84" s="56">
        <f>YEAR(Table3[[#This Row],[Date]])</f>
        <v>2025</v>
      </c>
      <c r="C84" s="56" t="s">
        <v>1070</v>
      </c>
      <c r="D84" s="56" t="s">
        <v>1070</v>
      </c>
      <c r="E84" s="6" t="str">
        <f>TEXT(Table3[[#This Row],[Date]],"mmm-yy")</f>
        <v>Jun-25</v>
      </c>
      <c r="F84" s="56">
        <f>DAY(EOMONTH(Table3[[#This Row],[Month Year]],0))</f>
        <v>30</v>
      </c>
      <c r="G84" s="58">
        <f t="shared" si="7"/>
        <v>45825</v>
      </c>
      <c r="H84" s="17">
        <f>'Modelling New'!$AR$1</f>
        <v>8.0208999999999993</v>
      </c>
      <c r="I84" s="88">
        <v>0.25277777777777777</v>
      </c>
      <c r="J84" s="88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79">
        <f>SUM(Table3[[#This Row],[Inv1_U1]:[Inv1_U4]])</f>
        <v>9804.2000000000007</v>
      </c>
      <c r="X84" s="80">
        <f>SUM(Table3[[#This Row],[Inv2_U1]:[Inv2_U4]])</f>
        <v>9491.2000000000007</v>
      </c>
      <c r="Y84" s="81">
        <f>SUM(Table3[[#This Row],[Inv3_U1]:[Inv3_U4]])</f>
        <v>10187.6</v>
      </c>
      <c r="Z84" s="59">
        <v>89965.85</v>
      </c>
      <c r="AA84" s="59">
        <v>404.1</v>
      </c>
      <c r="AB84" s="56"/>
      <c r="AC84" s="77">
        <v>5.07</v>
      </c>
      <c r="AD84" s="78">
        <v>0</v>
      </c>
      <c r="AE84" s="77">
        <v>36.869999999999997</v>
      </c>
      <c r="AF84" s="77">
        <v>0</v>
      </c>
      <c r="AG84" s="77">
        <v>0</v>
      </c>
      <c r="AH84" s="56"/>
      <c r="AI84" s="16">
        <f>SUM(Table3[[#This Row],[Inv1]:[Inv3]])</f>
        <v>29483</v>
      </c>
      <c r="AJ84" s="16">
        <f>IF((Table3[[#This Row],[33 kV Outgoinng Export Reading]]-Z83)*1000&gt;0,(Table3[[#This Row],[33 kV Outgoinng Export Reading]]-Z83)*1000,0)</f>
        <v>29250</v>
      </c>
      <c r="AK84" s="16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67">
        <f t="shared" si="10"/>
        <v>12.716666666666667</v>
      </c>
      <c r="AN84" s="67"/>
    </row>
    <row r="85" spans="1:40" x14ac:dyDescent="0.3">
      <c r="A85" s="171">
        <f>YEAR(Table3[[#This Row],[Date]])+IF(MONTH(Table3[[#This Row],[Date]])&gt;=4,1,0)</f>
        <v>2026</v>
      </c>
      <c r="B85" s="56">
        <f>YEAR(Table3[[#This Row],[Date]])</f>
        <v>2025</v>
      </c>
      <c r="C85" s="56" t="s">
        <v>1070</v>
      </c>
      <c r="D85" s="56" t="s">
        <v>1070</v>
      </c>
      <c r="E85" s="6" t="str">
        <f>TEXT(Table3[[#This Row],[Date]],"mmm-yy")</f>
        <v>Jun-25</v>
      </c>
      <c r="F85" s="56">
        <f>DAY(EOMONTH(Table3[[#This Row],[Month Year]],0))</f>
        <v>30</v>
      </c>
      <c r="G85" s="58">
        <f t="shared" si="7"/>
        <v>45826</v>
      </c>
      <c r="H85" s="17">
        <f>'Modelling New'!$AR$1</f>
        <v>8.0208999999999993</v>
      </c>
      <c r="I85" s="88">
        <v>0.24930555555555556</v>
      </c>
      <c r="J85" s="88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79">
        <f>SUM(Table3[[#This Row],[Inv1_U1]:[Inv1_U4]])</f>
        <v>10893.400000000001</v>
      </c>
      <c r="X85" s="80">
        <f>SUM(Table3[[#This Row],[Inv2_U1]:[Inv2_U4]])</f>
        <v>10551.2</v>
      </c>
      <c r="Y85" s="81">
        <f>SUM(Table3[[#This Row],[Inv3_U1]:[Inv3_U4]])</f>
        <v>11260.599999999999</v>
      </c>
      <c r="Z85" s="59">
        <v>89998.25</v>
      </c>
      <c r="AA85" s="59">
        <v>404.2</v>
      </c>
      <c r="AB85" s="56"/>
      <c r="AC85" s="77">
        <v>4.9800000000000004</v>
      </c>
      <c r="AD85" s="78">
        <v>0</v>
      </c>
      <c r="AE85" s="77">
        <v>36.69</v>
      </c>
      <c r="AF85" s="77">
        <v>0</v>
      </c>
      <c r="AG85" s="77">
        <v>0</v>
      </c>
      <c r="AH85" s="56"/>
      <c r="AI85" s="16">
        <f>SUM(Table3[[#This Row],[Inv1]:[Inv3]])</f>
        <v>32705.200000000001</v>
      </c>
      <c r="AJ85" s="16">
        <f>IF((Table3[[#This Row],[33 kV Outgoinng Export Reading]]-Z84)*1000&gt;0,(Table3[[#This Row],[33 kV Outgoinng Export Reading]]-Z84)*1000,0)</f>
        <v>32399.999999994179</v>
      </c>
      <c r="AK85" s="16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67">
        <f t="shared" ref="AM85:AM90" si="11">IFERROR((J85-I85)*24,"")</f>
        <v>12.85</v>
      </c>
      <c r="AN85" s="67"/>
    </row>
    <row r="86" spans="1:40" x14ac:dyDescent="0.3">
      <c r="A86" s="171">
        <f>YEAR(Table3[[#This Row],[Date]])+IF(MONTH(Table3[[#This Row],[Date]])&gt;=4,1,0)</f>
        <v>2026</v>
      </c>
      <c r="B86" s="56">
        <f>YEAR(Table3[[#This Row],[Date]])</f>
        <v>2025</v>
      </c>
      <c r="C86" s="56" t="s">
        <v>1070</v>
      </c>
      <c r="D86" s="56" t="s">
        <v>1070</v>
      </c>
      <c r="E86" s="6" t="str">
        <f>TEXT(Table3[[#This Row],[Date]],"mmm-yy")</f>
        <v>Jun-25</v>
      </c>
      <c r="F86" s="56">
        <f>DAY(EOMONTH(Table3[[#This Row],[Month Year]],0))</f>
        <v>30</v>
      </c>
      <c r="G86" s="58">
        <f t="shared" si="7"/>
        <v>45827</v>
      </c>
      <c r="H86" s="17">
        <f>'Modelling New'!$AR$1</f>
        <v>8.0208999999999993</v>
      </c>
      <c r="I86" s="88">
        <v>0.24513888888888888</v>
      </c>
      <c r="J86" s="88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79">
        <f>SUM(Table3[[#This Row],[Inv1_U1]:[Inv1_U4]])</f>
        <v>8475.7000000000007</v>
      </c>
      <c r="X86" s="80">
        <f>SUM(Table3[[#This Row],[Inv2_U1]:[Inv2_U4]])</f>
        <v>8186.2000000000007</v>
      </c>
      <c r="Y86" s="81">
        <f>SUM(Table3[[#This Row],[Inv3_U1]:[Inv3_U4]])</f>
        <v>8649.2000000000007</v>
      </c>
      <c r="Z86" s="59">
        <v>90023.35</v>
      </c>
      <c r="AA86" s="59">
        <v>404.3</v>
      </c>
      <c r="AB86" s="56"/>
      <c r="AC86" s="77">
        <v>4.63</v>
      </c>
      <c r="AD86" s="78">
        <v>0</v>
      </c>
      <c r="AE86" s="77">
        <v>35.83</v>
      </c>
      <c r="AF86" s="77">
        <v>0</v>
      </c>
      <c r="AG86" s="77">
        <v>0</v>
      </c>
      <c r="AH86" s="56"/>
      <c r="AI86" s="16">
        <f>SUM(Table3[[#This Row],[Inv1]:[Inv3]])</f>
        <v>25311.100000000002</v>
      </c>
      <c r="AJ86" s="16">
        <f>IF((Table3[[#This Row],[33 kV Outgoinng Export Reading]]-Z85)*1000&gt;0,(Table3[[#This Row],[33 kV Outgoinng Export Reading]]-Z85)*1000,0)</f>
        <v>25100.000000005821</v>
      </c>
      <c r="AK86" s="16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67">
        <f t="shared" si="11"/>
        <v>12.833333333333332</v>
      </c>
      <c r="AN86" s="67"/>
    </row>
    <row r="87" spans="1:40" x14ac:dyDescent="0.3">
      <c r="A87" s="171">
        <f>YEAR(Table3[[#This Row],[Date]])+IF(MONTH(Table3[[#This Row],[Date]])&gt;=4,1,0)</f>
        <v>2026</v>
      </c>
      <c r="B87" s="56">
        <f>YEAR(Table3[[#This Row],[Date]])</f>
        <v>2025</v>
      </c>
      <c r="C87" s="56" t="s">
        <v>1070</v>
      </c>
      <c r="D87" s="56" t="s">
        <v>1070</v>
      </c>
      <c r="E87" s="6" t="str">
        <f>TEXT(Table3[[#This Row],[Date]],"mmm-yy")</f>
        <v>Jun-25</v>
      </c>
      <c r="F87" s="56">
        <f>DAY(EOMONTH(Table3[[#This Row],[Month Year]],0))</f>
        <v>30</v>
      </c>
      <c r="G87" s="58">
        <f t="shared" si="7"/>
        <v>45828</v>
      </c>
      <c r="H87" s="17">
        <f>'Modelling New'!$AR$1</f>
        <v>8.0208999999999993</v>
      </c>
      <c r="I87" s="88">
        <v>0.24861111111111112</v>
      </c>
      <c r="J87" s="88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79">
        <f>SUM(Table3[[#This Row],[Inv1_U1]:[Inv1_U4]])</f>
        <v>10487.3</v>
      </c>
      <c r="X87" s="80">
        <f>SUM(Table3[[#This Row],[Inv2_U1]:[Inv2_U4]])</f>
        <v>10176.1</v>
      </c>
      <c r="Y87" s="81">
        <f>SUM(Table3[[#This Row],[Inv3_U1]:[Inv3_U4]])</f>
        <v>10967.5</v>
      </c>
      <c r="Z87" s="59">
        <v>90054.7</v>
      </c>
      <c r="AA87" s="59">
        <v>404.4</v>
      </c>
      <c r="AB87" s="56"/>
      <c r="AC87" s="77">
        <v>4.84</v>
      </c>
      <c r="AD87" s="78">
        <v>0</v>
      </c>
      <c r="AE87" s="77">
        <v>36.57</v>
      </c>
      <c r="AF87" s="77">
        <v>0</v>
      </c>
      <c r="AG87" s="77">
        <v>0</v>
      </c>
      <c r="AH87" s="56"/>
      <c r="AI87" s="16">
        <f>SUM(Table3[[#This Row],[Inv1]:[Inv3]])</f>
        <v>31630.9</v>
      </c>
      <c r="AJ87" s="16">
        <f>IF((Table3[[#This Row],[33 kV Outgoinng Export Reading]]-Z86)*1000&gt;0,(Table3[[#This Row],[33 kV Outgoinng Export Reading]]-Z86)*1000,0)</f>
        <v>31349.999999991269</v>
      </c>
      <c r="AK87" s="16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67">
        <f t="shared" si="11"/>
        <v>12.816666666666666</v>
      </c>
      <c r="AN87" s="67"/>
    </row>
    <row r="88" spans="1:40" x14ac:dyDescent="0.3">
      <c r="A88" s="171">
        <f>YEAR(Table3[[#This Row],[Date]])+IF(MONTH(Table3[[#This Row],[Date]])&gt;=4,1,0)</f>
        <v>2026</v>
      </c>
      <c r="B88" s="56">
        <f>YEAR(Table3[[#This Row],[Date]])</f>
        <v>2025</v>
      </c>
      <c r="C88" s="56" t="s">
        <v>1070</v>
      </c>
      <c r="D88" s="56" t="s">
        <v>1070</v>
      </c>
      <c r="E88" s="6" t="str">
        <f>TEXT(Table3[[#This Row],[Date]],"mmm-yy")</f>
        <v>Jun-25</v>
      </c>
      <c r="F88" s="56">
        <f>DAY(EOMONTH(Table3[[#This Row],[Month Year]],0))</f>
        <v>30</v>
      </c>
      <c r="G88" s="58">
        <f t="shared" si="7"/>
        <v>45829</v>
      </c>
      <c r="H88" s="17">
        <f>'Modelling New'!$AR$1</f>
        <v>8.0208999999999993</v>
      </c>
      <c r="I88" s="88">
        <v>0.24861111111111112</v>
      </c>
      <c r="J88" s="88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79">
        <f>SUM(Table3[[#This Row],[Inv1_U1]:[Inv1_U4]])</f>
        <v>12730.4</v>
      </c>
      <c r="X88" s="80">
        <f>SUM(Table3[[#This Row],[Inv2_U1]:[Inv2_U4]])</f>
        <v>12265</v>
      </c>
      <c r="Y88" s="81">
        <f>SUM(Table3[[#This Row],[Inv3_U1]:[Inv3_U4]])</f>
        <v>13134.7</v>
      </c>
      <c r="Z88" s="59">
        <v>90092.5</v>
      </c>
      <c r="AA88" s="59">
        <v>404.5</v>
      </c>
      <c r="AB88" s="56"/>
      <c r="AC88" s="77">
        <v>5.98</v>
      </c>
      <c r="AD88" s="78">
        <v>0</v>
      </c>
      <c r="AE88" s="77">
        <v>38.619999999999997</v>
      </c>
      <c r="AF88" s="77">
        <v>0</v>
      </c>
      <c r="AG88" s="77">
        <v>0</v>
      </c>
      <c r="AH88" s="56"/>
      <c r="AI88" s="16">
        <f>SUM(Table3[[#This Row],[Inv1]:[Inv3]])</f>
        <v>38130.100000000006</v>
      </c>
      <c r="AJ88" s="16">
        <f>IF((Table3[[#This Row],[33 kV Outgoinng Export Reading]]-Z87)*1000&gt;0,(Table3[[#This Row],[33 kV Outgoinng Export Reading]]-Z87)*1000,0)</f>
        <v>37800.00000000291</v>
      </c>
      <c r="AK88" s="16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67">
        <f t="shared" si="11"/>
        <v>12.833333333333332</v>
      </c>
      <c r="AN88" s="67"/>
    </row>
    <row r="89" spans="1:40" x14ac:dyDescent="0.3">
      <c r="A89" s="171">
        <f>YEAR(Table3[[#This Row],[Date]])+IF(MONTH(Table3[[#This Row],[Date]])&gt;=4,1,0)</f>
        <v>2026</v>
      </c>
      <c r="B89" s="56">
        <f>YEAR(Table3[[#This Row],[Date]])</f>
        <v>2025</v>
      </c>
      <c r="C89" s="56" t="s">
        <v>1070</v>
      </c>
      <c r="D89" s="56" t="s">
        <v>1070</v>
      </c>
      <c r="E89" s="6" t="str">
        <f>TEXT(Table3[[#This Row],[Date]],"mmm-yy")</f>
        <v>Jun-25</v>
      </c>
      <c r="F89" s="56">
        <f>DAY(EOMONTH(Table3[[#This Row],[Month Year]],0))</f>
        <v>30</v>
      </c>
      <c r="G89" s="58">
        <f t="shared" si="7"/>
        <v>45830</v>
      </c>
      <c r="H89" s="17">
        <f>'Modelling New'!$AR$1</f>
        <v>8.0208999999999993</v>
      </c>
      <c r="I89" s="88">
        <v>0.24791666666666667</v>
      </c>
      <c r="J89" s="88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79">
        <f>SUM(Table3[[#This Row],[Inv1_U1]:[Inv1_U4]])</f>
        <v>12556.599999999999</v>
      </c>
      <c r="X89" s="80">
        <f>SUM(Table3[[#This Row],[Inv2_U1]:[Inv2_U4]])</f>
        <v>12154.9</v>
      </c>
      <c r="Y89" s="81">
        <f>SUM(Table3[[#This Row],[Inv3_U1]:[Inv3_U4]])</f>
        <v>13024.599999999999</v>
      </c>
      <c r="Z89" s="59">
        <v>90129.9</v>
      </c>
      <c r="AA89" s="59">
        <v>404.6</v>
      </c>
      <c r="AB89" s="56"/>
      <c r="AC89" s="77">
        <v>5.89</v>
      </c>
      <c r="AD89" s="78">
        <v>0</v>
      </c>
      <c r="AE89" s="77">
        <v>38.299999999999997</v>
      </c>
      <c r="AF89" s="77">
        <v>0</v>
      </c>
      <c r="AG89" s="77">
        <v>0</v>
      </c>
      <c r="AH89" s="56"/>
      <c r="AI89" s="16">
        <f>SUM(Table3[[#This Row],[Inv1]:[Inv3]])</f>
        <v>37736.1</v>
      </c>
      <c r="AJ89" s="16">
        <f>IF((Table3[[#This Row],[33 kV Outgoinng Export Reading]]-Z88)*1000&gt;0,(Table3[[#This Row],[33 kV Outgoinng Export Reading]]-Z88)*1000,0)</f>
        <v>37399.999999994179</v>
      </c>
      <c r="AK89" s="16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67">
        <f t="shared" si="11"/>
        <v>12.816666666666666</v>
      </c>
      <c r="AN89" s="67"/>
    </row>
    <row r="90" spans="1:40" x14ac:dyDescent="0.3">
      <c r="A90" s="171">
        <f>YEAR(Table3[[#This Row],[Date]])+IF(MONTH(Table3[[#This Row],[Date]])&gt;=4,1,0)</f>
        <v>2026</v>
      </c>
      <c r="B90" s="56">
        <f>YEAR(Table3[[#This Row],[Date]])</f>
        <v>2025</v>
      </c>
      <c r="C90" s="56" t="s">
        <v>1070</v>
      </c>
      <c r="D90" s="56" t="s">
        <v>1070</v>
      </c>
      <c r="E90" s="6" t="str">
        <f>TEXT(Table3[[#This Row],[Date]],"mmm-yy")</f>
        <v>Jun-25</v>
      </c>
      <c r="F90" s="56">
        <f>DAY(EOMONTH(Table3[[#This Row],[Month Year]],0))</f>
        <v>30</v>
      </c>
      <c r="G90" s="58">
        <f t="shared" si="7"/>
        <v>45831</v>
      </c>
      <c r="H90" s="17">
        <f>'Modelling New'!$AR$1</f>
        <v>8.0208999999999993</v>
      </c>
      <c r="I90" s="88">
        <v>0.25208333333333333</v>
      </c>
      <c r="J90" s="88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79">
        <f>SUM(Table3[[#This Row],[Inv1_U1]:[Inv1_U4]])</f>
        <v>10924</v>
      </c>
      <c r="X90" s="80">
        <f>SUM(Table3[[#This Row],[Inv2_U1]:[Inv2_U4]])</f>
        <v>10534.7</v>
      </c>
      <c r="Y90" s="81">
        <f>SUM(Table3[[#This Row],[Inv3_U1]:[Inv3_U4]])</f>
        <v>11187.3</v>
      </c>
      <c r="Z90" s="59">
        <v>90162.25</v>
      </c>
      <c r="AA90" s="59">
        <v>404.7</v>
      </c>
      <c r="AB90" s="56"/>
      <c r="AC90" s="77">
        <v>5.0599999999999996</v>
      </c>
      <c r="AD90" s="78">
        <v>0</v>
      </c>
      <c r="AE90" s="77">
        <v>36.049999999999997</v>
      </c>
      <c r="AF90" s="77">
        <v>0</v>
      </c>
      <c r="AG90" s="77">
        <v>0</v>
      </c>
      <c r="AH90" s="56"/>
      <c r="AI90" s="16">
        <f>SUM(Table3[[#This Row],[Inv1]:[Inv3]])</f>
        <v>32646</v>
      </c>
      <c r="AJ90" s="16">
        <f>IF((Table3[[#This Row],[33 kV Outgoinng Export Reading]]-Z89)*1000&gt;0,(Table3[[#This Row],[33 kV Outgoinng Export Reading]]-Z89)*1000,0)</f>
        <v>32350.000000005821</v>
      </c>
      <c r="AK90" s="16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67">
        <f t="shared" si="11"/>
        <v>12.75</v>
      </c>
      <c r="AN90" s="67"/>
    </row>
    <row r="91" spans="1:40" x14ac:dyDescent="0.3">
      <c r="A91" s="171">
        <f>YEAR(Table3[[#This Row],[Date]])+IF(MONTH(Table3[[#This Row],[Date]])&gt;=4,1,0)</f>
        <v>2026</v>
      </c>
      <c r="B91" s="56">
        <f>YEAR(Table3[[#This Row],[Date]])</f>
        <v>2025</v>
      </c>
      <c r="C91" s="56" t="s">
        <v>1070</v>
      </c>
      <c r="D91" s="56" t="s">
        <v>1070</v>
      </c>
      <c r="E91" s="6" t="str">
        <f>TEXT(Table3[[#This Row],[Date]],"mmm-yy")</f>
        <v>Jun-25</v>
      </c>
      <c r="F91" s="56">
        <f>DAY(EOMONTH(Table3[[#This Row],[Month Year]],0))</f>
        <v>30</v>
      </c>
      <c r="G91" s="58">
        <f t="shared" si="7"/>
        <v>45832</v>
      </c>
      <c r="H91" s="17">
        <f>'Modelling New'!$AR$1</f>
        <v>8.0208999999999993</v>
      </c>
      <c r="I91" s="88">
        <v>0.25</v>
      </c>
      <c r="J91" s="88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79">
        <f>SUM(Table3[[#This Row],[Inv1_U1]:[Inv1_U4]])</f>
        <v>5511.3</v>
      </c>
      <c r="X91" s="80">
        <f>SUM(Table3[[#This Row],[Inv2_U1]:[Inv2_U4]])</f>
        <v>5259.4</v>
      </c>
      <c r="Y91" s="81">
        <f>SUM(Table3[[#This Row],[Inv3_U1]:[Inv3_U4]])</f>
        <v>5584.2000000000007</v>
      </c>
      <c r="Z91" s="59">
        <v>90178.45</v>
      </c>
      <c r="AA91" s="59">
        <v>404.8</v>
      </c>
      <c r="AB91" s="56"/>
      <c r="AC91" s="77">
        <v>3.22</v>
      </c>
      <c r="AD91" s="78">
        <v>0</v>
      </c>
      <c r="AE91" s="77">
        <v>31.12</v>
      </c>
      <c r="AF91" s="77">
        <v>0</v>
      </c>
      <c r="AG91" s="77">
        <v>0</v>
      </c>
      <c r="AH91" s="56"/>
      <c r="AI91" s="16">
        <f>SUM(Table3[[#This Row],[Inv1]:[Inv3]])</f>
        <v>16354.900000000001</v>
      </c>
      <c r="AJ91" s="16">
        <f>IF((Table3[[#This Row],[33 kV Outgoinng Export Reading]]-Z90)*1000&gt;0,(Table3[[#This Row],[33 kV Outgoinng Export Reading]]-Z90)*1000,0)</f>
        <v>16199.99999999709</v>
      </c>
      <c r="AK91" s="16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67">
        <f t="shared" ref="AM91:AM96" si="12">IFERROR((J91-I91)*24,"")</f>
        <v>12.75</v>
      </c>
      <c r="AN91" s="67"/>
    </row>
    <row r="92" spans="1:40" x14ac:dyDescent="0.3">
      <c r="A92" s="171">
        <f>YEAR(Table3[[#This Row],[Date]])+IF(MONTH(Table3[[#This Row],[Date]])&gt;=4,1,0)</f>
        <v>2026</v>
      </c>
      <c r="B92" s="56">
        <f>YEAR(Table3[[#This Row],[Date]])</f>
        <v>2025</v>
      </c>
      <c r="C92" s="56" t="s">
        <v>1070</v>
      </c>
      <c r="D92" s="56" t="s">
        <v>1070</v>
      </c>
      <c r="E92" s="6" t="str">
        <f>TEXT(Table3[[#This Row],[Date]],"mmm-yy")</f>
        <v>Jun-25</v>
      </c>
      <c r="F92" s="56">
        <f>DAY(EOMONTH(Table3[[#This Row],[Month Year]],0))</f>
        <v>30</v>
      </c>
      <c r="G92" s="58">
        <f t="shared" si="7"/>
        <v>45833</v>
      </c>
      <c r="H92" s="17">
        <f>'Modelling New'!$AR$1</f>
        <v>8.0208999999999993</v>
      </c>
      <c r="I92" s="88">
        <v>0.25277777777777777</v>
      </c>
      <c r="J92" s="88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79">
        <f>SUM(Table3[[#This Row],[Inv1_U1]:[Inv1_U4]])</f>
        <v>8695</v>
      </c>
      <c r="X92" s="80">
        <f>SUM(Table3[[#This Row],[Inv2_U1]:[Inv2_U4]])</f>
        <v>8327.7000000000007</v>
      </c>
      <c r="Y92" s="81">
        <f>SUM(Table3[[#This Row],[Inv3_U1]:[Inv3_U4]])</f>
        <v>8790.9</v>
      </c>
      <c r="Z92" s="59">
        <v>90204.05</v>
      </c>
      <c r="AA92" s="59">
        <v>404.9</v>
      </c>
      <c r="AB92" s="56"/>
      <c r="AC92" s="77">
        <v>4.18</v>
      </c>
      <c r="AD92" s="78">
        <v>0</v>
      </c>
      <c r="AE92" s="77">
        <v>34.04</v>
      </c>
      <c r="AF92" s="77">
        <v>0</v>
      </c>
      <c r="AG92" s="77">
        <v>0</v>
      </c>
      <c r="AH92" s="56"/>
      <c r="AI92" s="16">
        <f>SUM(Table3[[#This Row],[Inv1]:[Inv3]])</f>
        <v>25813.599999999999</v>
      </c>
      <c r="AJ92" s="16">
        <f>IF((Table3[[#This Row],[33 kV Outgoinng Export Reading]]-Z91)*1000&gt;0,(Table3[[#This Row],[33 kV Outgoinng Export Reading]]-Z91)*1000,0)</f>
        <v>25600.000000005821</v>
      </c>
      <c r="AK92" s="16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67">
        <f t="shared" si="12"/>
        <v>12.600000000000001</v>
      </c>
      <c r="AN92" s="67"/>
    </row>
    <row r="93" spans="1:40" x14ac:dyDescent="0.3">
      <c r="A93" s="171">
        <f>YEAR(Table3[[#This Row],[Date]])+IF(MONTH(Table3[[#This Row],[Date]])&gt;=4,1,0)</f>
        <v>2026</v>
      </c>
      <c r="B93" s="56">
        <f>YEAR(Table3[[#This Row],[Date]])</f>
        <v>2025</v>
      </c>
      <c r="C93" s="56" t="s">
        <v>1070</v>
      </c>
      <c r="D93" s="56" t="s">
        <v>1070</v>
      </c>
      <c r="E93" s="6" t="str">
        <f>TEXT(Table3[[#This Row],[Date]],"mmm-yy")</f>
        <v>Jun-25</v>
      </c>
      <c r="F93" s="56">
        <f>DAY(EOMONTH(Table3[[#This Row],[Month Year]],0))</f>
        <v>30</v>
      </c>
      <c r="G93" s="58">
        <f t="shared" si="7"/>
        <v>45834</v>
      </c>
      <c r="H93" s="17">
        <f>'Modelling New'!$AR$1</f>
        <v>8.0208999999999993</v>
      </c>
      <c r="I93" s="88">
        <v>0.25694444444444442</v>
      </c>
      <c r="J93" s="88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79">
        <f>SUM(Table3[[#This Row],[Inv1_U1]:[Inv1_U4]])</f>
        <v>8247.5</v>
      </c>
      <c r="X93" s="80">
        <f>SUM(Table3[[#This Row],[Inv2_U1]:[Inv2_U4]])</f>
        <v>7931.5</v>
      </c>
      <c r="Y93" s="81">
        <f>SUM(Table3[[#This Row],[Inv3_U1]:[Inv3_U4]])</f>
        <v>8322.9</v>
      </c>
      <c r="Z93" s="59">
        <v>90228.35</v>
      </c>
      <c r="AA93" s="59">
        <v>405</v>
      </c>
      <c r="AB93" s="56"/>
      <c r="AC93" s="77">
        <v>3.64</v>
      </c>
      <c r="AD93" s="78">
        <v>0</v>
      </c>
      <c r="AE93" s="77">
        <v>33.06</v>
      </c>
      <c r="AF93" s="77">
        <v>0</v>
      </c>
      <c r="AG93" s="77">
        <v>0</v>
      </c>
      <c r="AH93" s="56"/>
      <c r="AI93" s="16">
        <f>SUM(Table3[[#This Row],[Inv1]:[Inv3]])</f>
        <v>24501.9</v>
      </c>
      <c r="AJ93" s="16">
        <f>IF((Table3[[#This Row],[33 kV Outgoinng Export Reading]]-Z92)*1000&gt;0,(Table3[[#This Row],[33 kV Outgoinng Export Reading]]-Z92)*1000,0)</f>
        <v>24300.00000000291</v>
      </c>
      <c r="AK93" s="16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67">
        <f t="shared" si="12"/>
        <v>12.633333333333333</v>
      </c>
      <c r="AN93" s="67"/>
    </row>
    <row r="94" spans="1:40" x14ac:dyDescent="0.3">
      <c r="A94" s="171">
        <f>YEAR(Table3[[#This Row],[Date]])+IF(MONTH(Table3[[#This Row],[Date]])&gt;=4,1,0)</f>
        <v>2026</v>
      </c>
      <c r="B94" s="56">
        <f>YEAR(Table3[[#This Row],[Date]])</f>
        <v>2025</v>
      </c>
      <c r="C94" s="56" t="s">
        <v>1070</v>
      </c>
      <c r="D94" s="56" t="s">
        <v>1070</v>
      </c>
      <c r="E94" s="6" t="str">
        <f>TEXT(Table3[[#This Row],[Date]],"mmm-yy")</f>
        <v>Jun-25</v>
      </c>
      <c r="F94" s="56">
        <f>DAY(EOMONTH(Table3[[#This Row],[Month Year]],0))</f>
        <v>30</v>
      </c>
      <c r="G94" s="58">
        <f t="shared" si="7"/>
        <v>45835</v>
      </c>
      <c r="H94" s="17">
        <f>'Modelling New'!$AR$1</f>
        <v>8.0208999999999993</v>
      </c>
      <c r="I94" s="88">
        <v>0.24930555555555556</v>
      </c>
      <c r="J94" s="88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79">
        <f>SUM(Table3[[#This Row],[Inv1_U1]:[Inv1_U4]])</f>
        <v>12301.5</v>
      </c>
      <c r="X94" s="80">
        <f>SUM(Table3[[#This Row],[Inv2_U1]:[Inv2_U4]])</f>
        <v>11850</v>
      </c>
      <c r="Y94" s="81">
        <f>SUM(Table3[[#This Row],[Inv3_U1]:[Inv3_U4]])</f>
        <v>12532.599999999999</v>
      </c>
      <c r="Z94" s="59">
        <v>90264.7</v>
      </c>
      <c r="AA94" s="59">
        <v>405.1</v>
      </c>
      <c r="AB94" s="56"/>
      <c r="AC94" s="77">
        <v>5.82</v>
      </c>
      <c r="AD94" s="78">
        <v>0</v>
      </c>
      <c r="AE94" s="77">
        <v>36.89</v>
      </c>
      <c r="AF94" s="77">
        <v>0</v>
      </c>
      <c r="AG94" s="77">
        <v>0</v>
      </c>
      <c r="AH94" s="56"/>
      <c r="AI94" s="16">
        <f>SUM(Table3[[#This Row],[Inv1]:[Inv3]])</f>
        <v>36684.1</v>
      </c>
      <c r="AJ94" s="16">
        <f>IF((Table3[[#This Row],[33 kV Outgoinng Export Reading]]-Z93)*1000&gt;0,(Table3[[#This Row],[33 kV Outgoinng Export Reading]]-Z93)*1000,0)</f>
        <v>36349.999999991269</v>
      </c>
      <c r="AK94" s="16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67">
        <f t="shared" si="12"/>
        <v>12.966666666666665</v>
      </c>
      <c r="AN94" s="67"/>
    </row>
    <row r="95" spans="1:40" x14ac:dyDescent="0.3">
      <c r="A95" s="171">
        <f>YEAR(Table3[[#This Row],[Date]])+IF(MONTH(Table3[[#This Row],[Date]])&gt;=4,1,0)</f>
        <v>2026</v>
      </c>
      <c r="B95" s="56">
        <f>YEAR(Table3[[#This Row],[Date]])</f>
        <v>2025</v>
      </c>
      <c r="C95" s="56" t="s">
        <v>1070</v>
      </c>
      <c r="D95" s="56" t="s">
        <v>1070</v>
      </c>
      <c r="E95" s="6" t="str">
        <f>TEXT(Table3[[#This Row],[Date]],"mmm-yy")</f>
        <v>Jun-25</v>
      </c>
      <c r="F95" s="56">
        <f>DAY(EOMONTH(Table3[[#This Row],[Month Year]],0))</f>
        <v>30</v>
      </c>
      <c r="G95" s="58">
        <f t="shared" si="7"/>
        <v>45836</v>
      </c>
      <c r="H95" s="17">
        <f>'Modelling New'!$AR$1</f>
        <v>8.0208999999999993</v>
      </c>
      <c r="I95" s="88">
        <v>0.24930555555555556</v>
      </c>
      <c r="J95" s="88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79">
        <f>SUM(Table3[[#This Row],[Inv1_U1]:[Inv1_U4]])</f>
        <v>11419.7</v>
      </c>
      <c r="X95" s="80">
        <f>SUM(Table3[[#This Row],[Inv2_U1]:[Inv2_U4]])</f>
        <v>11057.6</v>
      </c>
      <c r="Y95" s="81">
        <f>SUM(Table3[[#This Row],[Inv3_U1]:[Inv3_U4]])</f>
        <v>11628.4</v>
      </c>
      <c r="Z95" s="59">
        <v>90298.5</v>
      </c>
      <c r="AA95" s="59">
        <v>405.2</v>
      </c>
      <c r="AB95" s="56"/>
      <c r="AC95" s="77">
        <v>5.24</v>
      </c>
      <c r="AD95" s="78">
        <v>0</v>
      </c>
      <c r="AE95" s="77">
        <v>36.97</v>
      </c>
      <c r="AF95" s="77">
        <v>0</v>
      </c>
      <c r="AG95" s="77">
        <v>0</v>
      </c>
      <c r="AH95" s="56"/>
      <c r="AI95" s="16">
        <f>SUM(Table3[[#This Row],[Inv1]:[Inv3]])</f>
        <v>34105.700000000004</v>
      </c>
      <c r="AJ95" s="16">
        <f>IF((Table3[[#This Row],[33 kV Outgoinng Export Reading]]-Z94)*1000&gt;0,(Table3[[#This Row],[33 kV Outgoinng Export Reading]]-Z94)*1000,0)</f>
        <v>33800.00000000291</v>
      </c>
      <c r="AK95" s="16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67">
        <f t="shared" si="12"/>
        <v>12.85</v>
      </c>
      <c r="AN95" s="67"/>
    </row>
    <row r="96" spans="1:40" x14ac:dyDescent="0.3">
      <c r="A96" s="171">
        <f>YEAR(Table3[[#This Row],[Date]])+IF(MONTH(Table3[[#This Row],[Date]])&gt;=4,1,0)</f>
        <v>2026</v>
      </c>
      <c r="B96" s="56">
        <f>YEAR(Table3[[#This Row],[Date]])</f>
        <v>2025</v>
      </c>
      <c r="C96" s="56" t="s">
        <v>1070</v>
      </c>
      <c r="D96" s="56" t="s">
        <v>1070</v>
      </c>
      <c r="E96" s="6" t="str">
        <f>TEXT(Table3[[#This Row],[Date]],"mmm-yy")</f>
        <v>Jun-25</v>
      </c>
      <c r="F96" s="56">
        <f>DAY(EOMONTH(Table3[[#This Row],[Month Year]],0))</f>
        <v>30</v>
      </c>
      <c r="G96" s="58">
        <f t="shared" si="7"/>
        <v>45837</v>
      </c>
      <c r="H96" s="17">
        <f>'Modelling New'!$AR$1</f>
        <v>8.0208999999999993</v>
      </c>
      <c r="I96" s="88">
        <v>0.24722222222222223</v>
      </c>
      <c r="J96" s="88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79">
        <f>SUM(Table3[[#This Row],[Inv1_U1]:[Inv1_U4]])</f>
        <v>8131.6</v>
      </c>
      <c r="X96" s="80">
        <f>SUM(Table3[[#This Row],[Inv2_U1]:[Inv2_U4]])</f>
        <v>7810.3</v>
      </c>
      <c r="Y96" s="81">
        <f>SUM(Table3[[#This Row],[Inv3_U1]:[Inv3_U4]])</f>
        <v>8369.9000000000015</v>
      </c>
      <c r="Z96" s="59">
        <v>90322.6</v>
      </c>
      <c r="AA96" s="59">
        <v>405.3</v>
      </c>
      <c r="AB96" s="56"/>
      <c r="AC96" s="77">
        <v>3.64</v>
      </c>
      <c r="AD96" s="78">
        <v>0</v>
      </c>
      <c r="AE96" s="77">
        <v>33.06</v>
      </c>
      <c r="AF96" s="77">
        <v>0</v>
      </c>
      <c r="AG96" s="77">
        <v>0</v>
      </c>
      <c r="AH96" s="56"/>
      <c r="AI96" s="16">
        <f>SUM(Table3[[#This Row],[Inv1]:[Inv3]])</f>
        <v>24311.800000000003</v>
      </c>
      <c r="AJ96" s="16">
        <f>IF((Table3[[#This Row],[33 kV Outgoinng Export Reading]]-Z95)*1000&gt;0,(Table3[[#This Row],[33 kV Outgoinng Export Reading]]-Z95)*1000,0)</f>
        <v>24100.000000005821</v>
      </c>
      <c r="AK96" s="16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67">
        <f t="shared" si="12"/>
        <v>12.733333333333334</v>
      </c>
      <c r="AN96" s="67"/>
    </row>
    <row r="97" spans="1:40" x14ac:dyDescent="0.3">
      <c r="A97" s="171">
        <f>YEAR(Table3[[#This Row],[Date]])+IF(MONTH(Table3[[#This Row],[Date]])&gt;=4,1,0)</f>
        <v>2026</v>
      </c>
      <c r="B97" s="56">
        <f>YEAR(Table3[[#This Row],[Date]])</f>
        <v>2025</v>
      </c>
      <c r="C97" s="56" t="s">
        <v>1070</v>
      </c>
      <c r="D97" s="56" t="s">
        <v>1070</v>
      </c>
      <c r="E97" s="6" t="str">
        <f>TEXT(Table3[[#This Row],[Date]],"mmm-yy")</f>
        <v>Jun-25</v>
      </c>
      <c r="F97" s="56">
        <f>DAY(EOMONTH(Table3[[#This Row],[Month Year]],0))</f>
        <v>30</v>
      </c>
      <c r="G97" s="58">
        <f t="shared" si="7"/>
        <v>45838</v>
      </c>
      <c r="H97" s="17">
        <f>'Modelling New'!$AR$1</f>
        <v>8.0208999999999993</v>
      </c>
      <c r="I97" s="88">
        <v>0.25</v>
      </c>
      <c r="J97" s="88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79">
        <f>SUM(Table3[[#This Row],[Inv1_U1]:[Inv1_U4]])</f>
        <v>7609.7</v>
      </c>
      <c r="X97" s="80">
        <f>SUM(Table3[[#This Row],[Inv2_U1]:[Inv2_U4]])</f>
        <v>7270.6999999999989</v>
      </c>
      <c r="Y97" s="81">
        <f>SUM(Table3[[#This Row],[Inv3_U1]:[Inv3_U4]])</f>
        <v>7648.4999999999991</v>
      </c>
      <c r="Z97" s="59">
        <v>90344.9</v>
      </c>
      <c r="AA97" s="59">
        <v>405.4</v>
      </c>
      <c r="AB97" s="56"/>
      <c r="AC97" s="77">
        <v>3.25</v>
      </c>
      <c r="AD97" s="78">
        <v>0</v>
      </c>
      <c r="AE97" s="77">
        <v>32.46</v>
      </c>
      <c r="AF97" s="77">
        <v>0</v>
      </c>
      <c r="AG97" s="77">
        <v>0</v>
      </c>
      <c r="AH97" s="56"/>
      <c r="AI97" s="16">
        <f>SUM(Table3[[#This Row],[Inv1]:[Inv3]])</f>
        <v>22528.899999999998</v>
      </c>
      <c r="AJ97" s="16">
        <f>IF((Table3[[#This Row],[33 kV Outgoinng Export Reading]]-Z96)*1000&gt;0,(Table3[[#This Row],[33 kV Outgoinng Export Reading]]-Z96)*1000,0)</f>
        <v>22299.999999988358</v>
      </c>
      <c r="AK97" s="16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67">
        <f t="shared" ref="AM97:AM102" si="13">IFERROR((J97-I97)*24,"")</f>
        <v>12.5</v>
      </c>
      <c r="AN97" s="67"/>
    </row>
    <row r="98" spans="1:40" x14ac:dyDescent="0.3">
      <c r="A98" s="171">
        <f>YEAR(Table3[[#This Row],[Date]])+IF(MONTH(Table3[[#This Row],[Date]])&gt;=4,1,0)</f>
        <v>2026</v>
      </c>
      <c r="B98" s="56">
        <f>YEAR(Table3[[#This Row],[Date]])</f>
        <v>2025</v>
      </c>
      <c r="C98" s="56" t="s">
        <v>1070</v>
      </c>
      <c r="D98" s="56" t="s">
        <v>1070</v>
      </c>
      <c r="E98" s="6" t="str">
        <f>TEXT(Table3[[#This Row],[Date]],"mmm-yy")</f>
        <v>Jul-25</v>
      </c>
      <c r="F98" s="56">
        <f>DAY(EOMONTH(Table3[[#This Row],[Month Year]],0))</f>
        <v>31</v>
      </c>
      <c r="G98" s="58">
        <f t="shared" si="7"/>
        <v>45839</v>
      </c>
      <c r="H98" s="17">
        <f>'Modelling New'!$AR$1</f>
        <v>8.0208999999999993</v>
      </c>
      <c r="I98" s="88">
        <v>0.25694444444444442</v>
      </c>
      <c r="J98" s="88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79">
        <f>SUM(Table3[[#This Row],[Inv1_U1]:[Inv1_U4]])</f>
        <v>6001.3</v>
      </c>
      <c r="X98" s="80">
        <f>SUM(Table3[[#This Row],[Inv2_U1]:[Inv2_U4]])</f>
        <v>5758.7</v>
      </c>
      <c r="Y98" s="81">
        <f>SUM(Table3[[#This Row],[Inv3_U1]:[Inv3_U4]])</f>
        <v>5997.7</v>
      </c>
      <c r="Z98" s="59">
        <v>90362.5</v>
      </c>
      <c r="AA98" s="59">
        <v>405.5</v>
      </c>
      <c r="AB98" s="56"/>
      <c r="AC98" s="77">
        <v>2.5299999999999998</v>
      </c>
      <c r="AD98" s="78">
        <v>0</v>
      </c>
      <c r="AE98" s="77">
        <v>29.75</v>
      </c>
      <c r="AF98" s="77">
        <v>0</v>
      </c>
      <c r="AG98" s="77">
        <v>0</v>
      </c>
      <c r="AH98" s="56"/>
      <c r="AI98" s="16">
        <f>SUM(Table3[[#This Row],[Inv1]:[Inv3]])</f>
        <v>17757.7</v>
      </c>
      <c r="AJ98" s="16">
        <f>IF((Table3[[#This Row],[33 kV Outgoinng Export Reading]]-Z97)*1000&gt;0,(Table3[[#This Row],[33 kV Outgoinng Export Reading]]-Z97)*1000,0)</f>
        <v>17600.000000005821</v>
      </c>
      <c r="AK98" s="16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67">
        <f t="shared" si="13"/>
        <v>11.633333333333335</v>
      </c>
      <c r="AN98" s="67"/>
    </row>
    <row r="99" spans="1:40" x14ac:dyDescent="0.3">
      <c r="A99" s="171">
        <f>YEAR(Table3[[#This Row],[Date]])+IF(MONTH(Table3[[#This Row],[Date]])&gt;=4,1,0)</f>
        <v>2026</v>
      </c>
      <c r="B99" s="56">
        <f>YEAR(Table3[[#This Row],[Date]])</f>
        <v>2025</v>
      </c>
      <c r="C99" s="56" t="s">
        <v>1070</v>
      </c>
      <c r="D99" s="56" t="s">
        <v>1070</v>
      </c>
      <c r="E99" s="6" t="str">
        <f>TEXT(Table3[[#This Row],[Date]],"mmm-yy")</f>
        <v>Jul-25</v>
      </c>
      <c r="F99" s="56">
        <f>DAY(EOMONTH(Table3[[#This Row],[Month Year]],0))</f>
        <v>31</v>
      </c>
      <c r="G99" s="58">
        <f t="shared" si="7"/>
        <v>45840</v>
      </c>
      <c r="H99" s="17">
        <f>'Modelling New'!$AR$1</f>
        <v>8.0208999999999993</v>
      </c>
      <c r="I99" s="88">
        <v>0.26597222222222222</v>
      </c>
      <c r="J99" s="88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79">
        <f>SUM(Table3[[#This Row],[Inv1_U1]:[Inv1_U4]])</f>
        <v>3689.4000000000005</v>
      </c>
      <c r="X99" s="80">
        <f>SUM(Table3[[#This Row],[Inv2_U1]:[Inv2_U4]])</f>
        <v>3504.8999999999996</v>
      </c>
      <c r="Y99" s="81">
        <f>SUM(Table3[[#This Row],[Inv3_U1]:[Inv3_U4]])</f>
        <v>3686.2</v>
      </c>
      <c r="Z99" s="59">
        <v>90373.25</v>
      </c>
      <c r="AA99" s="59">
        <v>405.6</v>
      </c>
      <c r="AB99" s="56"/>
      <c r="AC99" s="77">
        <v>1.5</v>
      </c>
      <c r="AD99" s="78">
        <v>0</v>
      </c>
      <c r="AE99" s="77">
        <v>27.01</v>
      </c>
      <c r="AF99" s="77">
        <v>0</v>
      </c>
      <c r="AG99" s="77">
        <v>0</v>
      </c>
      <c r="AH99" s="56"/>
      <c r="AI99" s="16">
        <f>SUM(Table3[[#This Row],[Inv1]:[Inv3]])</f>
        <v>10880.5</v>
      </c>
      <c r="AJ99" s="16">
        <f>IF((Table3[[#This Row],[33 kV Outgoinng Export Reading]]-Z98)*1000&gt;0,(Table3[[#This Row],[33 kV Outgoinng Export Reading]]-Z98)*1000,0)</f>
        <v>10750</v>
      </c>
      <c r="AK99" s="16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67">
        <f t="shared" si="13"/>
        <v>12.416666666666668</v>
      </c>
      <c r="AN99" s="67"/>
    </row>
    <row r="100" spans="1:40" x14ac:dyDescent="0.3">
      <c r="A100" s="171">
        <f>YEAR(Table3[[#This Row],[Date]])+IF(MONTH(Table3[[#This Row],[Date]])&gt;=4,1,0)</f>
        <v>2026</v>
      </c>
      <c r="B100" s="56">
        <f>YEAR(Table3[[#This Row],[Date]])</f>
        <v>2025</v>
      </c>
      <c r="C100" s="56" t="s">
        <v>1070</v>
      </c>
      <c r="D100" s="56" t="s">
        <v>1070</v>
      </c>
      <c r="E100" s="6" t="str">
        <f>TEXT(Table3[[#This Row],[Date]],"mmm-yy")</f>
        <v>Jul-25</v>
      </c>
      <c r="F100" s="56">
        <f>DAY(EOMONTH(Table3[[#This Row],[Month Year]],0))</f>
        <v>31</v>
      </c>
      <c r="G100" s="58">
        <f t="shared" si="7"/>
        <v>45841</v>
      </c>
      <c r="H100" s="17">
        <f>'Modelling New'!$AR$1</f>
        <v>8.0208999999999993</v>
      </c>
      <c r="I100" s="88">
        <v>0.26944444444444443</v>
      </c>
      <c r="J100" s="88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79">
        <f>SUM(Table3[[#This Row],[Inv1_U1]:[Inv1_U4]])</f>
        <v>6100.2</v>
      </c>
      <c r="X100" s="80">
        <f>SUM(Table3[[#This Row],[Inv2_U1]:[Inv2_U4]])</f>
        <v>5876.1</v>
      </c>
      <c r="Y100" s="81">
        <f>SUM(Table3[[#This Row],[Inv3_U1]:[Inv3_U4]])</f>
        <v>6094.8</v>
      </c>
      <c r="Z100" s="59">
        <v>90391.15</v>
      </c>
      <c r="AA100" s="59">
        <v>405.7</v>
      </c>
      <c r="AB100" s="56"/>
      <c r="AC100" s="77">
        <v>2.68</v>
      </c>
      <c r="AD100" s="78">
        <v>0</v>
      </c>
      <c r="AE100" s="77">
        <v>31.01</v>
      </c>
      <c r="AF100" s="77">
        <v>0</v>
      </c>
      <c r="AG100" s="77">
        <v>0</v>
      </c>
      <c r="AH100" s="56"/>
      <c r="AI100" s="16">
        <f>SUM(Table3[[#This Row],[Inv1]:[Inv3]])</f>
        <v>18071.099999999999</v>
      </c>
      <c r="AJ100" s="16">
        <f>IF((Table3[[#This Row],[33 kV Outgoinng Export Reading]]-Z99)*1000&gt;0,(Table3[[#This Row],[33 kV Outgoinng Export Reading]]-Z99)*1000,0)</f>
        <v>17899.999999994179</v>
      </c>
      <c r="AK100" s="16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67">
        <f t="shared" si="13"/>
        <v>12.133333333333333</v>
      </c>
      <c r="AN100" s="67"/>
    </row>
    <row r="101" spans="1:40" x14ac:dyDescent="0.3">
      <c r="A101" s="171">
        <f>YEAR(Table3[[#This Row],[Date]])+IF(MONTH(Table3[[#This Row],[Date]])&gt;=4,1,0)</f>
        <v>2026</v>
      </c>
      <c r="B101" s="56">
        <f>YEAR(Table3[[#This Row],[Date]])</f>
        <v>2025</v>
      </c>
      <c r="C101" s="56" t="s">
        <v>1070</v>
      </c>
      <c r="D101" s="56" t="s">
        <v>1070</v>
      </c>
      <c r="E101" s="6" t="str">
        <f>TEXT(Table3[[#This Row],[Date]],"mmm-yy")</f>
        <v>Jul-25</v>
      </c>
      <c r="F101" s="56">
        <f>DAY(EOMONTH(Table3[[#This Row],[Month Year]],0))</f>
        <v>31</v>
      </c>
      <c r="G101" s="58">
        <f t="shared" si="7"/>
        <v>45842</v>
      </c>
      <c r="H101" s="17">
        <f>'Modelling New'!$AR$1</f>
        <v>8.0208999999999993</v>
      </c>
      <c r="I101" s="88">
        <v>0.26041666666666669</v>
      </c>
      <c r="J101" s="88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79">
        <f>SUM(Table3[[#This Row],[Inv1_U1]:[Inv1_U4]])</f>
        <v>10408.799999999999</v>
      </c>
      <c r="X101" s="80">
        <f>SUM(Table3[[#This Row],[Inv2_U1]:[Inv2_U4]])</f>
        <v>10071</v>
      </c>
      <c r="Y101" s="81">
        <f>SUM(Table3[[#This Row],[Inv3_U1]:[Inv3_U4]])</f>
        <v>10858</v>
      </c>
      <c r="Z101" s="59">
        <v>90422.2</v>
      </c>
      <c r="AA101" s="59">
        <v>405.8</v>
      </c>
      <c r="AB101" s="56"/>
      <c r="AC101" s="77">
        <v>4.76</v>
      </c>
      <c r="AD101" s="78">
        <v>0</v>
      </c>
      <c r="AE101" s="77">
        <v>35.32</v>
      </c>
      <c r="AF101" s="77">
        <v>0</v>
      </c>
      <c r="AG101" s="77">
        <v>0</v>
      </c>
      <c r="AH101" s="56"/>
      <c r="AI101" s="16">
        <f>SUM(Table3[[#This Row],[Inv1]:[Inv3]])</f>
        <v>31337.8</v>
      </c>
      <c r="AJ101" s="16">
        <f>IF((Table3[[#This Row],[33 kV Outgoinng Export Reading]]-Z100)*1000&gt;0,(Table3[[#This Row],[33 kV Outgoinng Export Reading]]-Z100)*1000,0)</f>
        <v>31050.00000000291</v>
      </c>
      <c r="AK101" s="16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67">
        <f t="shared" si="13"/>
        <v>12.416666666666668</v>
      </c>
      <c r="AN101" s="67"/>
    </row>
    <row r="102" spans="1:40" x14ac:dyDescent="0.3">
      <c r="A102" s="171">
        <f>YEAR(Table3[[#This Row],[Date]])+IF(MONTH(Table3[[#This Row],[Date]])&gt;=4,1,0)</f>
        <v>2026</v>
      </c>
      <c r="B102" s="56">
        <f>YEAR(Table3[[#This Row],[Date]])</f>
        <v>2025</v>
      </c>
      <c r="C102" s="56" t="s">
        <v>1070</v>
      </c>
      <c r="D102" s="56" t="s">
        <v>1070</v>
      </c>
      <c r="E102" s="6" t="str">
        <f>TEXT(Table3[[#This Row],[Date]],"mmm-yy")</f>
        <v>Jul-25</v>
      </c>
      <c r="F102" s="56">
        <f>DAY(EOMONTH(Table3[[#This Row],[Month Year]],0))</f>
        <v>31</v>
      </c>
      <c r="G102" s="58">
        <f t="shared" si="7"/>
        <v>45843</v>
      </c>
      <c r="H102" s="17">
        <f>'Modelling New'!$AR$1</f>
        <v>8.0208999999999993</v>
      </c>
      <c r="I102" s="88">
        <v>0.24861111111111112</v>
      </c>
      <c r="J102" s="88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79">
        <f>SUM(Table3[[#This Row],[Inv1_U1]:[Inv1_U4]])</f>
        <v>9934.4</v>
      </c>
      <c r="X102" s="80">
        <f>SUM(Table3[[#This Row],[Inv2_U1]:[Inv2_U4]])</f>
        <v>9556.7000000000007</v>
      </c>
      <c r="Y102" s="81">
        <f>SUM(Table3[[#This Row],[Inv3_U1]:[Inv3_U4]])</f>
        <v>10223.1</v>
      </c>
      <c r="Z102" s="59">
        <v>90451.65</v>
      </c>
      <c r="AA102" s="59">
        <v>405.9</v>
      </c>
      <c r="AB102" s="56"/>
      <c r="AC102" s="77">
        <v>4.5999999999999996</v>
      </c>
      <c r="AD102" s="78">
        <v>0</v>
      </c>
      <c r="AE102" s="77">
        <v>33.96</v>
      </c>
      <c r="AF102" s="77">
        <v>0</v>
      </c>
      <c r="AG102" s="77">
        <v>0</v>
      </c>
      <c r="AH102" s="56"/>
      <c r="AI102" s="16">
        <f>SUM(Table3[[#This Row],[Inv1]:[Inv3]])</f>
        <v>29714.199999999997</v>
      </c>
      <c r="AJ102" s="16">
        <f>IF((Table3[[#This Row],[33 kV Outgoinng Export Reading]]-Z101)*1000&gt;0,(Table3[[#This Row],[33 kV Outgoinng Export Reading]]-Z101)*1000,0)</f>
        <v>29449.99999999709</v>
      </c>
      <c r="AK102" s="16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67">
        <f t="shared" si="13"/>
        <v>12.733333333333334</v>
      </c>
      <c r="AN102" s="67"/>
    </row>
    <row r="103" spans="1:40" x14ac:dyDescent="0.3">
      <c r="A103" s="171">
        <f>YEAR(Table3[[#This Row],[Date]])+IF(MONTH(Table3[[#This Row],[Date]])&gt;=4,1,0)</f>
        <v>2026</v>
      </c>
      <c r="B103" s="56">
        <f>YEAR(Table3[[#This Row],[Date]])</f>
        <v>2025</v>
      </c>
      <c r="C103" s="56" t="s">
        <v>1070</v>
      </c>
      <c r="D103" s="56" t="s">
        <v>1070</v>
      </c>
      <c r="E103" s="6" t="str">
        <f>TEXT(Table3[[#This Row],[Date]],"mmm-yy")</f>
        <v>Jul-25</v>
      </c>
      <c r="F103" s="56">
        <f>DAY(EOMONTH(Table3[[#This Row],[Month Year]],0))</f>
        <v>31</v>
      </c>
      <c r="G103" s="58">
        <f t="shared" si="7"/>
        <v>45844</v>
      </c>
      <c r="H103" s="17">
        <f>'Modelling New'!$AR$1</f>
        <v>8.0208999999999993</v>
      </c>
      <c r="I103" s="88">
        <v>0.25486111111111109</v>
      </c>
      <c r="J103" s="88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79">
        <f>SUM(Table3[[#This Row],[Inv1_U1]:[Inv1_U4]])</f>
        <v>10876.2</v>
      </c>
      <c r="X103" s="80">
        <f>SUM(Table3[[#This Row],[Inv2_U1]:[Inv2_U4]])</f>
        <v>10467.5</v>
      </c>
      <c r="Y103" s="81">
        <f>SUM(Table3[[#This Row],[Inv3_U1]:[Inv3_U4]])</f>
        <v>11097.000000000002</v>
      </c>
      <c r="Z103" s="59">
        <v>90483.8</v>
      </c>
      <c r="AA103" s="59">
        <v>406</v>
      </c>
      <c r="AB103" s="56"/>
      <c r="AC103" s="77">
        <v>5.21</v>
      </c>
      <c r="AD103" s="78">
        <v>0</v>
      </c>
      <c r="AE103" s="77">
        <v>35.729999999999997</v>
      </c>
      <c r="AF103" s="77">
        <v>0</v>
      </c>
      <c r="AG103" s="77">
        <v>0</v>
      </c>
      <c r="AH103" s="56"/>
      <c r="AI103" s="16">
        <f>SUM(Table3[[#This Row],[Inv1]:[Inv3]])</f>
        <v>32440.700000000004</v>
      </c>
      <c r="AJ103" s="16">
        <f>IF((Table3[[#This Row],[33 kV Outgoinng Export Reading]]-Z102)*1000&gt;0,(Table3[[#This Row],[33 kV Outgoinng Export Reading]]-Z102)*1000,0)</f>
        <v>32150.000000008731</v>
      </c>
      <c r="AK103" s="16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67">
        <f t="shared" ref="AM103:AM108" si="14">IFERROR((J103-I103)*24,"")</f>
        <v>12.616666666666667</v>
      </c>
      <c r="AN103" s="67"/>
    </row>
    <row r="104" spans="1:40" x14ac:dyDescent="0.3">
      <c r="A104" s="171">
        <f>YEAR(Table3[[#This Row],[Date]])+IF(MONTH(Table3[[#This Row],[Date]])&gt;=4,1,0)</f>
        <v>2026</v>
      </c>
      <c r="B104" s="56">
        <f>YEAR(Table3[[#This Row],[Date]])</f>
        <v>2025</v>
      </c>
      <c r="C104" s="56" t="s">
        <v>1070</v>
      </c>
      <c r="D104" s="56" t="s">
        <v>1070</v>
      </c>
      <c r="E104" s="6" t="str">
        <f>TEXT(Table3[[#This Row],[Date]],"mmm-yy")</f>
        <v>Jul-25</v>
      </c>
      <c r="F104" s="56">
        <f>DAY(EOMONTH(Table3[[#This Row],[Month Year]],0))</f>
        <v>31</v>
      </c>
      <c r="G104" s="58">
        <f t="shared" si="7"/>
        <v>45845</v>
      </c>
      <c r="H104" s="17">
        <f>'Modelling New'!$AR$1</f>
        <v>8.0208999999999993</v>
      </c>
      <c r="I104" s="88">
        <v>0.2673611111111111</v>
      </c>
      <c r="J104" s="88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79">
        <f>SUM(Table3[[#This Row],[Inv1_U1]:[Inv1_U4]])</f>
        <v>5230.1000000000004</v>
      </c>
      <c r="X104" s="80">
        <f>SUM(Table3[[#This Row],[Inv2_U1]:[Inv2_U4]])</f>
        <v>5030.7000000000007</v>
      </c>
      <c r="Y104" s="81">
        <f>SUM(Table3[[#This Row],[Inv3_U1]:[Inv3_U4]])</f>
        <v>5275</v>
      </c>
      <c r="Z104" s="59">
        <v>90499.199999999997</v>
      </c>
      <c r="AA104" s="59">
        <v>406.1</v>
      </c>
      <c r="AB104" s="56"/>
      <c r="AC104" s="77">
        <v>2.27</v>
      </c>
      <c r="AD104" s="78">
        <v>0</v>
      </c>
      <c r="AE104" s="77">
        <v>30.36</v>
      </c>
      <c r="AF104" s="77">
        <v>0</v>
      </c>
      <c r="AG104" s="77">
        <v>0</v>
      </c>
      <c r="AH104" s="56"/>
      <c r="AI104" s="16">
        <f>SUM(Table3[[#This Row],[Inv1]:[Inv3]])</f>
        <v>15535.800000000001</v>
      </c>
      <c r="AJ104" s="16">
        <f>IF((Table3[[#This Row],[33 kV Outgoinng Export Reading]]-Z103)*1000&gt;0,(Table3[[#This Row],[33 kV Outgoinng Export Reading]]-Z103)*1000,0)</f>
        <v>15399.999999994179</v>
      </c>
      <c r="AK104" s="16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67">
        <f t="shared" si="14"/>
        <v>12.133333333333333</v>
      </c>
      <c r="AN104" s="67"/>
    </row>
    <row r="105" spans="1:40" x14ac:dyDescent="0.3">
      <c r="A105" s="171">
        <f>YEAR(Table3[[#This Row],[Date]])+IF(MONTH(Table3[[#This Row],[Date]])&gt;=4,1,0)</f>
        <v>2026</v>
      </c>
      <c r="B105" s="56">
        <f>YEAR(Table3[[#This Row],[Date]])</f>
        <v>2025</v>
      </c>
      <c r="C105" s="56" t="s">
        <v>1070</v>
      </c>
      <c r="D105" s="56" t="s">
        <v>1070</v>
      </c>
      <c r="E105" s="6" t="str">
        <f>TEXT(Table3[[#This Row],[Date]],"mmm-yy")</f>
        <v>Jul-25</v>
      </c>
      <c r="F105" s="56">
        <f>DAY(EOMONTH(Table3[[#This Row],[Month Year]],0))</f>
        <v>31</v>
      </c>
      <c r="G105" s="58">
        <f t="shared" si="7"/>
        <v>45846</v>
      </c>
      <c r="H105" s="17">
        <f>'Modelling New'!$AR$1</f>
        <v>8.0208999999999993</v>
      </c>
      <c r="I105" s="88">
        <v>0.25486111111111109</v>
      </c>
      <c r="J105" s="88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79">
        <f>SUM(Table3[[#This Row],[Inv1_U1]:[Inv1_U4]])</f>
        <v>7719.5</v>
      </c>
      <c r="X105" s="80">
        <f>SUM(Table3[[#This Row],[Inv2_U1]:[Inv2_U4]])</f>
        <v>7406</v>
      </c>
      <c r="Y105" s="81">
        <f>SUM(Table3[[#This Row],[Inv3_U1]:[Inv3_U4]])</f>
        <v>7844.3</v>
      </c>
      <c r="Z105" s="59">
        <v>90521.95</v>
      </c>
      <c r="AA105" s="59">
        <v>406.2</v>
      </c>
      <c r="AB105" s="56"/>
      <c r="AC105" s="77">
        <v>3.44</v>
      </c>
      <c r="AD105" s="78">
        <v>0</v>
      </c>
      <c r="AE105" s="77">
        <v>32.1</v>
      </c>
      <c r="AF105" s="77">
        <v>0</v>
      </c>
      <c r="AG105" s="77">
        <v>0</v>
      </c>
      <c r="AH105" s="56"/>
      <c r="AI105" s="16">
        <f>SUM(Table3[[#This Row],[Inv1]:[Inv3]])</f>
        <v>22969.8</v>
      </c>
      <c r="AJ105" s="16">
        <f>IF((Table3[[#This Row],[33 kV Outgoinng Export Reading]]-Z104)*1000&gt;0,(Table3[[#This Row],[33 kV Outgoinng Export Reading]]-Z104)*1000,0)</f>
        <v>22750</v>
      </c>
      <c r="AK105" s="16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67">
        <f t="shared" si="14"/>
        <v>11.8</v>
      </c>
      <c r="AN105" s="67"/>
    </row>
    <row r="106" spans="1:40" x14ac:dyDescent="0.3">
      <c r="A106" s="171">
        <f>YEAR(Table3[[#This Row],[Date]])+IF(MONTH(Table3[[#This Row],[Date]])&gt;=4,1,0)</f>
        <v>2026</v>
      </c>
      <c r="B106" s="56">
        <f>YEAR(Table3[[#This Row],[Date]])</f>
        <v>2025</v>
      </c>
      <c r="C106" s="56" t="s">
        <v>1070</v>
      </c>
      <c r="D106" s="56" t="s">
        <v>1070</v>
      </c>
      <c r="E106" s="6" t="str">
        <f>TEXT(Table3[[#This Row],[Date]],"mmm-yy")</f>
        <v>Jul-25</v>
      </c>
      <c r="F106" s="56">
        <f>DAY(EOMONTH(Table3[[#This Row],[Month Year]],0))</f>
        <v>31</v>
      </c>
      <c r="G106" s="58">
        <f t="shared" si="7"/>
        <v>45847</v>
      </c>
      <c r="H106" s="17">
        <f>'Modelling New'!$AR$1</f>
        <v>8.0208999999999993</v>
      </c>
      <c r="I106" s="88">
        <v>0.25694444444444442</v>
      </c>
      <c r="J106" s="88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79">
        <f>SUM(Table3[[#This Row],[Inv1_U1]:[Inv1_U4]])</f>
        <v>8319.4</v>
      </c>
      <c r="X106" s="80">
        <f>SUM(Table3[[#This Row],[Inv2_U1]:[Inv2_U4]])</f>
        <v>7968.3000000000011</v>
      </c>
      <c r="Y106" s="81">
        <f>SUM(Table3[[#This Row],[Inv3_U1]:[Inv3_U4]])</f>
        <v>8551.6</v>
      </c>
      <c r="Z106" s="59">
        <v>90546.55</v>
      </c>
      <c r="AA106" s="59">
        <v>406.3</v>
      </c>
      <c r="AB106" s="56"/>
      <c r="AC106" s="77">
        <v>3.83</v>
      </c>
      <c r="AD106" s="78">
        <v>0</v>
      </c>
      <c r="AE106" s="77">
        <v>33</v>
      </c>
      <c r="AF106" s="77">
        <v>0</v>
      </c>
      <c r="AG106" s="77">
        <v>0</v>
      </c>
      <c r="AH106" s="56"/>
      <c r="AI106" s="16">
        <f>SUM(Table3[[#This Row],[Inv1]:[Inv3]])</f>
        <v>24839.300000000003</v>
      </c>
      <c r="AJ106" s="16">
        <f>IF((Table3[[#This Row],[33 kV Outgoinng Export Reading]]-Z105)*1000&gt;0,(Table3[[#This Row],[33 kV Outgoinng Export Reading]]-Z105)*1000,0)</f>
        <v>24600.000000005821</v>
      </c>
      <c r="AK106" s="16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67">
        <f t="shared" si="14"/>
        <v>12.433333333333334</v>
      </c>
      <c r="AN106" s="67"/>
    </row>
    <row r="107" spans="1:40" x14ac:dyDescent="0.3">
      <c r="A107" s="171">
        <f>YEAR(Table3[[#This Row],[Date]])+IF(MONTH(Table3[[#This Row],[Date]])&gt;=4,1,0)</f>
        <v>2026</v>
      </c>
      <c r="B107" s="56">
        <f>YEAR(Table3[[#This Row],[Date]])</f>
        <v>2025</v>
      </c>
      <c r="C107" s="56" t="s">
        <v>1070</v>
      </c>
      <c r="D107" s="56" t="s">
        <v>1070</v>
      </c>
      <c r="E107" s="6" t="str">
        <f>TEXT(Table3[[#This Row],[Date]],"mmm-yy")</f>
        <v>Jul-25</v>
      </c>
      <c r="F107" s="56">
        <f>DAY(EOMONTH(Table3[[#This Row],[Month Year]],0))</f>
        <v>31</v>
      </c>
      <c r="G107" s="58">
        <f t="shared" si="7"/>
        <v>45848</v>
      </c>
      <c r="H107" s="17">
        <f>'Modelling New'!$AR$1</f>
        <v>8.0208999999999993</v>
      </c>
      <c r="I107" s="88">
        <v>0.25555555555555554</v>
      </c>
      <c r="J107" s="88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79">
        <f>SUM(Table3[[#This Row],[Inv1_U1]:[Inv1_U4]])</f>
        <v>11100.9</v>
      </c>
      <c r="X107" s="80">
        <f>SUM(Table3[[#This Row],[Inv2_U1]:[Inv2_U4]])</f>
        <v>10687.3</v>
      </c>
      <c r="Y107" s="81">
        <f>SUM(Table3[[#This Row],[Inv3_U1]:[Inv3_U4]])</f>
        <v>11313.8</v>
      </c>
      <c r="Z107" s="59">
        <v>90579.35</v>
      </c>
      <c r="AA107" s="59">
        <v>406.4</v>
      </c>
      <c r="AB107" s="56"/>
      <c r="AC107" s="77">
        <v>5.12</v>
      </c>
      <c r="AD107" s="78">
        <v>0</v>
      </c>
      <c r="AE107" s="77">
        <v>36.53</v>
      </c>
      <c r="AF107" s="77">
        <v>0</v>
      </c>
      <c r="AG107" s="77">
        <v>0</v>
      </c>
      <c r="AH107" s="56"/>
      <c r="AI107" s="16">
        <f>SUM(Table3[[#This Row],[Inv1]:[Inv3]])</f>
        <v>33102</v>
      </c>
      <c r="AJ107" s="16">
        <f>IF((Table3[[#This Row],[33 kV Outgoinng Export Reading]]-Z106)*1000&gt;0,(Table3[[#This Row],[33 kV Outgoinng Export Reading]]-Z106)*1000,0)</f>
        <v>32800.00000000291</v>
      </c>
      <c r="AK107" s="16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67">
        <f t="shared" si="14"/>
        <v>12.5</v>
      </c>
      <c r="AN107" s="67"/>
    </row>
    <row r="108" spans="1:40" x14ac:dyDescent="0.3">
      <c r="A108" s="171">
        <f>YEAR(Table3[[#This Row],[Date]])+IF(MONTH(Table3[[#This Row],[Date]])&gt;=4,1,0)</f>
        <v>2026</v>
      </c>
      <c r="B108" s="56">
        <f>YEAR(Table3[[#This Row],[Date]])</f>
        <v>2025</v>
      </c>
      <c r="C108" s="56" t="s">
        <v>1070</v>
      </c>
      <c r="D108" s="56" t="s">
        <v>1070</v>
      </c>
      <c r="E108" s="6" t="str">
        <f>TEXT(Table3[[#This Row],[Date]],"mmm-yy")</f>
        <v>Jul-25</v>
      </c>
      <c r="F108" s="56">
        <f>DAY(EOMONTH(Table3[[#This Row],[Month Year]],0))</f>
        <v>31</v>
      </c>
      <c r="G108" s="58">
        <f t="shared" si="7"/>
        <v>45849</v>
      </c>
      <c r="H108" s="17">
        <f>'Modelling New'!$AR$1</f>
        <v>8.0208999999999993</v>
      </c>
      <c r="I108" s="88">
        <v>0.25208333333333333</v>
      </c>
      <c r="J108" s="88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79">
        <f>SUM(Table3[[#This Row],[Inv1_U1]:[Inv1_U4]])</f>
        <v>11244.3</v>
      </c>
      <c r="X108" s="80">
        <f>SUM(Table3[[#This Row],[Inv2_U1]:[Inv2_U4]])</f>
        <v>10771.4</v>
      </c>
      <c r="Y108" s="81">
        <f>SUM(Table3[[#This Row],[Inv3_U1]:[Inv3_U4]])</f>
        <v>11576</v>
      </c>
      <c r="Z108" s="59">
        <v>90612.65</v>
      </c>
      <c r="AA108" s="59">
        <v>406.5</v>
      </c>
      <c r="AB108" s="56"/>
      <c r="AC108" s="77">
        <v>5.42</v>
      </c>
      <c r="AD108" s="78">
        <v>0</v>
      </c>
      <c r="AE108" s="77">
        <v>36.53</v>
      </c>
      <c r="AF108" s="77">
        <v>0</v>
      </c>
      <c r="AG108" s="77">
        <v>0</v>
      </c>
      <c r="AH108" s="56"/>
      <c r="AI108" s="16">
        <f>SUM(Table3[[#This Row],[Inv1]:[Inv3]])</f>
        <v>33591.699999999997</v>
      </c>
      <c r="AJ108" s="16">
        <f>IF((Table3[[#This Row],[33 kV Outgoinng Export Reading]]-Z107)*1000&gt;0,(Table3[[#This Row],[33 kV Outgoinng Export Reading]]-Z107)*1000,0)</f>
        <v>33299.999999988358</v>
      </c>
      <c r="AK108" s="16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67">
        <f t="shared" si="14"/>
        <v>12.600000000000001</v>
      </c>
      <c r="AN108" s="67"/>
    </row>
    <row r="109" spans="1:40" x14ac:dyDescent="0.3">
      <c r="A109" s="171">
        <f>YEAR(Table3[[#This Row],[Date]])+IF(MONTH(Table3[[#This Row],[Date]])&gt;=4,1,0)</f>
        <v>2026</v>
      </c>
      <c r="B109" s="56">
        <f>YEAR(Table3[[#This Row],[Date]])</f>
        <v>2025</v>
      </c>
      <c r="C109" s="56" t="s">
        <v>1070</v>
      </c>
      <c r="D109" s="56" t="s">
        <v>1070</v>
      </c>
      <c r="E109" s="6" t="str">
        <f>TEXT(Table3[[#This Row],[Date]],"mmm-yy")</f>
        <v>Jul-25</v>
      </c>
      <c r="F109" s="56">
        <f>DAY(EOMONTH(Table3[[#This Row],[Month Year]],0))</f>
        <v>31</v>
      </c>
      <c r="G109" s="58">
        <f t="shared" si="7"/>
        <v>45850</v>
      </c>
      <c r="H109" s="17">
        <f>'Modelling New'!$AR$1</f>
        <v>8.0208999999999993</v>
      </c>
      <c r="I109" s="88">
        <v>0.25555555555555554</v>
      </c>
      <c r="J109" s="88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79">
        <f>SUM(Table3[[#This Row],[Inv1_U1]:[Inv1_U4]])</f>
        <v>10477.9</v>
      </c>
      <c r="X109" s="80">
        <f>SUM(Table3[[#This Row],[Inv2_U1]:[Inv2_U4]])</f>
        <v>10085.200000000001</v>
      </c>
      <c r="Y109" s="81">
        <f>SUM(Table3[[#This Row],[Inv3_U1]:[Inv3_U4]])</f>
        <v>10844.4</v>
      </c>
      <c r="Z109" s="59">
        <v>90643.75</v>
      </c>
      <c r="AA109" s="59">
        <v>406.6</v>
      </c>
      <c r="AB109" s="56"/>
      <c r="AC109" s="77">
        <v>5.2</v>
      </c>
      <c r="AD109" s="78">
        <v>0</v>
      </c>
      <c r="AE109" s="77">
        <v>37.07</v>
      </c>
      <c r="AF109" s="77">
        <v>0</v>
      </c>
      <c r="AG109" s="77">
        <v>0</v>
      </c>
      <c r="AH109" s="56"/>
      <c r="AI109" s="16">
        <f>SUM(Table3[[#This Row],[Inv1]:[Inv3]])</f>
        <v>31407.5</v>
      </c>
      <c r="AJ109" s="16">
        <f>IF((Table3[[#This Row],[33 kV Outgoinng Export Reading]]-Z108)*1000&gt;0,(Table3[[#This Row],[33 kV Outgoinng Export Reading]]-Z108)*1000,0)</f>
        <v>31100.000000005821</v>
      </c>
      <c r="AK109" s="16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67">
        <f t="shared" ref="AM109:AM114" si="15">IFERROR((J109-I109)*24,"")</f>
        <v>12.65</v>
      </c>
      <c r="AN109" s="67"/>
    </row>
    <row r="110" spans="1:40" x14ac:dyDescent="0.3">
      <c r="A110" s="171">
        <f>YEAR(Table3[[#This Row],[Date]])+IF(MONTH(Table3[[#This Row],[Date]])&gt;=4,1,0)</f>
        <v>2026</v>
      </c>
      <c r="B110" s="56">
        <f>YEAR(Table3[[#This Row],[Date]])</f>
        <v>2025</v>
      </c>
      <c r="C110" s="56" t="s">
        <v>1070</v>
      </c>
      <c r="D110" s="56" t="s">
        <v>1070</v>
      </c>
      <c r="E110" s="6" t="str">
        <f>TEXT(Table3[[#This Row],[Date]],"mmm-yy")</f>
        <v>Jul-25</v>
      </c>
      <c r="F110" s="56">
        <f>DAY(EOMONTH(Table3[[#This Row],[Month Year]],0))</f>
        <v>31</v>
      </c>
      <c r="G110" s="58">
        <f t="shared" si="7"/>
        <v>45851</v>
      </c>
      <c r="H110" s="17">
        <f>'Modelling New'!$AR$1</f>
        <v>8.0208999999999993</v>
      </c>
      <c r="I110" s="88">
        <v>0.24930555555555556</v>
      </c>
      <c r="J110" s="88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79">
        <f>SUM(Table3[[#This Row],[Inv1_U1]:[Inv1_U4]])</f>
        <v>11103.9</v>
      </c>
      <c r="X110" s="80">
        <f>SUM(Table3[[#This Row],[Inv2_U1]:[Inv2_U4]])</f>
        <v>10648.7</v>
      </c>
      <c r="Y110" s="81">
        <f>SUM(Table3[[#This Row],[Inv3_U1]:[Inv3_U4]])</f>
        <v>11261.099999999999</v>
      </c>
      <c r="Z110" s="59">
        <v>90676.5</v>
      </c>
      <c r="AA110" s="59">
        <v>406.7</v>
      </c>
      <c r="AB110" s="56"/>
      <c r="AC110" s="77">
        <v>5.12</v>
      </c>
      <c r="AD110" s="78">
        <v>0</v>
      </c>
      <c r="AE110" s="77">
        <v>36.71</v>
      </c>
      <c r="AF110" s="77">
        <v>0</v>
      </c>
      <c r="AG110" s="77">
        <v>0</v>
      </c>
      <c r="AH110" s="56"/>
      <c r="AI110" s="16">
        <f>SUM(Table3[[#This Row],[Inv1]:[Inv3]])</f>
        <v>33013.699999999997</v>
      </c>
      <c r="AJ110" s="16">
        <f>IF((Table3[[#This Row],[33 kV Outgoinng Export Reading]]-Z109)*1000&gt;0,(Table3[[#This Row],[33 kV Outgoinng Export Reading]]-Z109)*1000,0)</f>
        <v>32750</v>
      </c>
      <c r="AK110" s="16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67">
        <f t="shared" si="15"/>
        <v>12.85</v>
      </c>
      <c r="AN110" s="67"/>
    </row>
    <row r="111" spans="1:40" x14ac:dyDescent="0.3">
      <c r="A111" s="171">
        <f>YEAR(Table3[[#This Row],[Date]])+IF(MONTH(Table3[[#This Row],[Date]])&gt;=4,1,0)</f>
        <v>2026</v>
      </c>
      <c r="B111" s="56">
        <f>YEAR(Table3[[#This Row],[Date]])</f>
        <v>2025</v>
      </c>
      <c r="C111" s="56" t="s">
        <v>1070</v>
      </c>
      <c r="D111" s="56" t="s">
        <v>1070</v>
      </c>
      <c r="E111" s="6" t="str">
        <f>TEXT(Table3[[#This Row],[Date]],"mmm-yy")</f>
        <v>Jul-25</v>
      </c>
      <c r="F111" s="56">
        <f>DAY(EOMONTH(Table3[[#This Row],[Month Year]],0))</f>
        <v>31</v>
      </c>
      <c r="G111" s="58">
        <f t="shared" si="7"/>
        <v>45852</v>
      </c>
      <c r="H111" s="17">
        <f>'Modelling New'!$AR$1</f>
        <v>8.0208999999999993</v>
      </c>
      <c r="I111" s="88">
        <v>0.25138888888888888</v>
      </c>
      <c r="J111" s="88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79">
        <f>SUM(Table3[[#This Row],[Inv1_U1]:[Inv1_U4]])</f>
        <v>12118.6</v>
      </c>
      <c r="X111" s="80">
        <f>SUM(Table3[[#This Row],[Inv2_U1]:[Inv2_U4]])</f>
        <v>11744.3</v>
      </c>
      <c r="Y111" s="81">
        <f>SUM(Table3[[#This Row],[Inv3_U1]:[Inv3_U4]])</f>
        <v>12780.9</v>
      </c>
      <c r="Z111" s="59">
        <v>90712.8</v>
      </c>
      <c r="AA111" s="59">
        <v>406.8</v>
      </c>
      <c r="AB111" s="56"/>
      <c r="AC111" s="77">
        <v>5.79</v>
      </c>
      <c r="AD111" s="78">
        <v>0</v>
      </c>
      <c r="AE111" s="77">
        <v>37.83</v>
      </c>
      <c r="AF111" s="77">
        <v>0</v>
      </c>
      <c r="AG111" s="77">
        <v>0</v>
      </c>
      <c r="AH111" s="56"/>
      <c r="AI111" s="16">
        <f>SUM(Table3[[#This Row],[Inv1]:[Inv3]])</f>
        <v>36643.800000000003</v>
      </c>
      <c r="AJ111" s="16">
        <f>IF((Table3[[#This Row],[33 kV Outgoinng Export Reading]]-Z110)*1000&gt;0,(Table3[[#This Row],[33 kV Outgoinng Export Reading]]-Z110)*1000,0)</f>
        <v>36300.00000000291</v>
      </c>
      <c r="AK111" s="16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67">
        <f t="shared" si="15"/>
        <v>12.75</v>
      </c>
      <c r="AN111" s="67"/>
    </row>
    <row r="112" spans="1:40" x14ac:dyDescent="0.3">
      <c r="A112" s="171">
        <f>YEAR(Table3[[#This Row],[Date]])+IF(MONTH(Table3[[#This Row],[Date]])&gt;=4,1,0)</f>
        <v>2026</v>
      </c>
      <c r="B112" s="56">
        <f>YEAR(Table3[[#This Row],[Date]])</f>
        <v>2025</v>
      </c>
      <c r="C112" s="56" t="s">
        <v>1070</v>
      </c>
      <c r="D112" s="56" t="s">
        <v>1070</v>
      </c>
      <c r="E112" s="6" t="str">
        <f>TEXT(Table3[[#This Row],[Date]],"mmm-yy")</f>
        <v>Jul-25</v>
      </c>
      <c r="F112" s="56">
        <f>DAY(EOMONTH(Table3[[#This Row],[Month Year]],0))</f>
        <v>31</v>
      </c>
      <c r="G112" s="58">
        <f t="shared" si="7"/>
        <v>45853</v>
      </c>
      <c r="H112" s="17">
        <f>'Modelling New'!$AR$1</f>
        <v>8.0208999999999993</v>
      </c>
      <c r="I112" s="88">
        <v>0.25416666666666665</v>
      </c>
      <c r="J112" s="88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79">
        <f>SUM(Table3[[#This Row],[Inv1_U1]:[Inv1_U4]])</f>
        <v>9536.9</v>
      </c>
      <c r="X112" s="80">
        <f>SUM(Table3[[#This Row],[Inv2_U1]:[Inv2_U4]])</f>
        <v>9160.1999999999989</v>
      </c>
      <c r="Y112" s="81">
        <f>SUM(Table3[[#This Row],[Inv3_U1]:[Inv3_U4]])</f>
        <v>9815.7999999999993</v>
      </c>
      <c r="Z112" s="59">
        <v>90741.05</v>
      </c>
      <c r="AA112" s="59">
        <v>406.9</v>
      </c>
      <c r="AB112" s="56"/>
      <c r="AC112" s="77">
        <v>4.25</v>
      </c>
      <c r="AD112" s="78">
        <v>0</v>
      </c>
      <c r="AE112" s="77">
        <v>35.26</v>
      </c>
      <c r="AF112" s="77">
        <v>0</v>
      </c>
      <c r="AG112" s="77">
        <v>0</v>
      </c>
      <c r="AH112" s="56"/>
      <c r="AI112" s="16">
        <f>SUM(Table3[[#This Row],[Inv1]:[Inv3]])</f>
        <v>28512.899999999998</v>
      </c>
      <c r="AJ112" s="16">
        <f>IF((Table3[[#This Row],[33 kV Outgoinng Export Reading]]-Z111)*1000&gt;0,(Table3[[#This Row],[33 kV Outgoinng Export Reading]]-Z111)*1000,0)</f>
        <v>28250</v>
      </c>
      <c r="AK112" s="16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67">
        <f t="shared" si="15"/>
        <v>12.75</v>
      </c>
      <c r="AN112" s="67"/>
    </row>
    <row r="113" spans="1:40" x14ac:dyDescent="0.3">
      <c r="A113" s="171">
        <f>YEAR(Table3[[#This Row],[Date]])+IF(MONTH(Table3[[#This Row],[Date]])&gt;=4,1,0)</f>
        <v>2026</v>
      </c>
      <c r="B113" s="56">
        <f>YEAR(Table3[[#This Row],[Date]])</f>
        <v>2025</v>
      </c>
      <c r="C113" s="56" t="s">
        <v>1070</v>
      </c>
      <c r="D113" s="56" t="s">
        <v>1070</v>
      </c>
      <c r="E113" s="6" t="str">
        <f>TEXT(Table3[[#This Row],[Date]],"mmm-yy")</f>
        <v>Jul-25</v>
      </c>
      <c r="F113" s="56">
        <f>DAY(EOMONTH(Table3[[#This Row],[Month Year]],0))</f>
        <v>31</v>
      </c>
      <c r="G113" s="58">
        <f t="shared" si="7"/>
        <v>45854</v>
      </c>
      <c r="H113" s="17">
        <f>'Modelling New'!$AR$1</f>
        <v>8.0208999999999993</v>
      </c>
      <c r="I113" s="88">
        <v>0.25486111111111109</v>
      </c>
      <c r="J113" s="88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79">
        <f>SUM(Table3[[#This Row],[Inv1_U1]:[Inv1_U4]])</f>
        <v>10333.699999999999</v>
      </c>
      <c r="X113" s="80">
        <f>SUM(Table3[[#This Row],[Inv2_U1]:[Inv2_U4]])</f>
        <v>9955.7000000000007</v>
      </c>
      <c r="Y113" s="81">
        <f>SUM(Table3[[#This Row],[Inv3_U1]:[Inv3_U4]])</f>
        <v>10600.300000000001</v>
      </c>
      <c r="Z113" s="59">
        <v>90771.65</v>
      </c>
      <c r="AA113" s="59">
        <v>407</v>
      </c>
      <c r="AB113" s="56"/>
      <c r="AC113" s="77">
        <v>4.9000000000000004</v>
      </c>
      <c r="AD113" s="78">
        <v>0</v>
      </c>
      <c r="AE113" s="77">
        <v>37.42</v>
      </c>
      <c r="AF113" s="77">
        <v>0</v>
      </c>
      <c r="AG113" s="77">
        <v>0</v>
      </c>
      <c r="AH113" s="56"/>
      <c r="AI113" s="16">
        <f>SUM(Table3[[#This Row],[Inv1]:[Inv3]])</f>
        <v>30889.700000000004</v>
      </c>
      <c r="AJ113" s="16">
        <f>IF((Table3[[#This Row],[33 kV Outgoinng Export Reading]]-Z112)*1000&gt;0,(Table3[[#This Row],[33 kV Outgoinng Export Reading]]-Z112)*1000,0)</f>
        <v>30599.999999991269</v>
      </c>
      <c r="AK113" s="16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67">
        <f t="shared" si="15"/>
        <v>12.600000000000001</v>
      </c>
      <c r="AN113" s="67"/>
    </row>
    <row r="114" spans="1:40" x14ac:dyDescent="0.3">
      <c r="A114" s="171">
        <f>YEAR(Table3[[#This Row],[Date]])+IF(MONTH(Table3[[#This Row],[Date]])&gt;=4,1,0)</f>
        <v>2026</v>
      </c>
      <c r="B114" s="56">
        <f>YEAR(Table3[[#This Row],[Date]])</f>
        <v>2025</v>
      </c>
      <c r="C114" s="56" t="s">
        <v>1070</v>
      </c>
      <c r="D114" s="56" t="s">
        <v>1070</v>
      </c>
      <c r="E114" s="6" t="str">
        <f>TEXT(Table3[[#This Row],[Date]],"mmm-yy")</f>
        <v>Jul-25</v>
      </c>
      <c r="F114" s="56">
        <f>DAY(EOMONTH(Table3[[#This Row],[Month Year]],0))</f>
        <v>31</v>
      </c>
      <c r="G114" s="58">
        <f t="shared" si="7"/>
        <v>45855</v>
      </c>
      <c r="H114" s="17">
        <f>'Modelling New'!$AR$1</f>
        <v>8.0208999999999993</v>
      </c>
      <c r="I114" s="88">
        <v>0.25763888888888886</v>
      </c>
      <c r="J114" s="88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79">
        <f>SUM(Table3[[#This Row],[Inv1_U1]:[Inv1_U4]])</f>
        <v>7034.6</v>
      </c>
      <c r="X114" s="80">
        <f>SUM(Table3[[#This Row],[Inv2_U1]:[Inv2_U4]])</f>
        <v>6781.9</v>
      </c>
      <c r="Y114" s="81">
        <f>SUM(Table3[[#This Row],[Inv3_U1]:[Inv3_U4]])</f>
        <v>6952.5</v>
      </c>
      <c r="Z114" s="59">
        <v>90792.25</v>
      </c>
      <c r="AA114" s="59">
        <v>407.1</v>
      </c>
      <c r="AB114" s="56"/>
      <c r="AC114" s="77">
        <v>4.17</v>
      </c>
      <c r="AD114" s="78">
        <v>0</v>
      </c>
      <c r="AE114" s="77">
        <v>36.18</v>
      </c>
      <c r="AF114" s="77">
        <v>0</v>
      </c>
      <c r="AG114" s="77">
        <v>0</v>
      </c>
      <c r="AH114" s="56"/>
      <c r="AI114" s="16">
        <f>SUM(Table3[[#This Row],[Inv1]:[Inv3]])</f>
        <v>20769</v>
      </c>
      <c r="AJ114" s="16">
        <f>IF((Table3[[#This Row],[33 kV Outgoinng Export Reading]]-Z113)*1000&gt;0,(Table3[[#This Row],[33 kV Outgoinng Export Reading]]-Z113)*1000,0)</f>
        <v>20600.000000005821</v>
      </c>
      <c r="AK114" s="16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67">
        <f t="shared" si="15"/>
        <v>12.350000000000001</v>
      </c>
      <c r="AN114" s="67"/>
    </row>
    <row r="115" spans="1:40" x14ac:dyDescent="0.3">
      <c r="A115" s="171">
        <f>YEAR(Table3[[#This Row],[Date]])+IF(MONTH(Table3[[#This Row],[Date]])&gt;=4,1,0)</f>
        <v>2026</v>
      </c>
      <c r="B115" s="56">
        <f>YEAR(Table3[[#This Row],[Date]])</f>
        <v>2025</v>
      </c>
      <c r="C115" s="56" t="s">
        <v>1070</v>
      </c>
      <c r="D115" s="56" t="s">
        <v>1070</v>
      </c>
      <c r="E115" s="6" t="str">
        <f>TEXT(Table3[[#This Row],[Date]],"mmm-yy")</f>
        <v>Jul-25</v>
      </c>
      <c r="F115" s="56">
        <f>DAY(EOMONTH(Table3[[#This Row],[Month Year]],0))</f>
        <v>31</v>
      </c>
      <c r="G115" s="58">
        <f t="shared" si="7"/>
        <v>45856</v>
      </c>
      <c r="H115" s="17">
        <f>'Modelling New'!$AR$1</f>
        <v>8.0208999999999993</v>
      </c>
      <c r="I115" s="88">
        <v>0.25416666666666665</v>
      </c>
      <c r="J115" s="88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79">
        <f>SUM(Table3[[#This Row],[Inv1_U1]:[Inv1_U4]])</f>
        <v>8408.5</v>
      </c>
      <c r="X115" s="80">
        <f>SUM(Table3[[#This Row],[Inv2_U1]:[Inv2_U4]])</f>
        <v>8174.0999999999995</v>
      </c>
      <c r="Y115" s="81">
        <f>SUM(Table3[[#This Row],[Inv3_U1]:[Inv3_U4]])</f>
        <v>8553.2999999999993</v>
      </c>
      <c r="Z115" s="59">
        <v>90817.15</v>
      </c>
      <c r="AA115" s="59">
        <v>407.2</v>
      </c>
      <c r="AB115" s="56"/>
      <c r="AC115" s="77">
        <v>3.83</v>
      </c>
      <c r="AD115" s="78">
        <v>0</v>
      </c>
      <c r="AE115" s="77">
        <v>35.700000000000003</v>
      </c>
      <c r="AF115" s="77">
        <v>0</v>
      </c>
      <c r="AG115" s="77">
        <v>0</v>
      </c>
      <c r="AH115" s="56"/>
      <c r="AI115" s="16">
        <f>SUM(Table3[[#This Row],[Inv1]:[Inv3]])</f>
        <v>25135.899999999998</v>
      </c>
      <c r="AJ115" s="16">
        <f>IF((Table3[[#This Row],[33 kV Outgoinng Export Reading]]-Z114)*1000&gt;0,(Table3[[#This Row],[33 kV Outgoinng Export Reading]]-Z114)*1000,0)</f>
        <v>24899.999999994179</v>
      </c>
      <c r="AK115" s="16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67">
        <f t="shared" ref="AM115:AM120" si="16">IFERROR((J115-I115)*24,"")</f>
        <v>10.633333333333333</v>
      </c>
      <c r="AN115" s="67"/>
    </row>
    <row r="116" spans="1:40" x14ac:dyDescent="0.3">
      <c r="A116" s="171">
        <f>YEAR(Table3[[#This Row],[Date]])+IF(MONTH(Table3[[#This Row],[Date]])&gt;=4,1,0)</f>
        <v>2026</v>
      </c>
      <c r="B116" s="56">
        <f>YEAR(Table3[[#This Row],[Date]])</f>
        <v>2025</v>
      </c>
      <c r="C116" s="56" t="s">
        <v>1070</v>
      </c>
      <c r="D116" s="56" t="s">
        <v>1070</v>
      </c>
      <c r="E116" s="6" t="str">
        <f>TEXT(Table3[[#This Row],[Date]],"mmm-yy")</f>
        <v>Jul-25</v>
      </c>
      <c r="F116" s="56">
        <f>DAY(EOMONTH(Table3[[#This Row],[Month Year]],0))</f>
        <v>31</v>
      </c>
      <c r="G116" s="58">
        <f t="shared" si="7"/>
        <v>45857</v>
      </c>
      <c r="H116" s="17">
        <f>'Modelling New'!$AR$1</f>
        <v>8.0208999999999993</v>
      </c>
      <c r="I116" s="88">
        <v>0.26458333333333334</v>
      </c>
      <c r="J116" s="88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79">
        <f>SUM(Table3[[#This Row],[Inv1_U1]:[Inv1_U4]])</f>
        <v>7650.2999999999993</v>
      </c>
      <c r="X116" s="80">
        <f>SUM(Table3[[#This Row],[Inv2_U1]:[Inv2_U4]])</f>
        <v>7670.9</v>
      </c>
      <c r="Y116" s="81">
        <f>SUM(Table3[[#This Row],[Inv3_U1]:[Inv3_U4]])</f>
        <v>8280.2000000000007</v>
      </c>
      <c r="Z116" s="59">
        <v>90840.55</v>
      </c>
      <c r="AA116" s="59">
        <v>407.3</v>
      </c>
      <c r="AB116" s="56"/>
      <c r="AC116" s="77">
        <v>3.72</v>
      </c>
      <c r="AD116" s="78">
        <v>0</v>
      </c>
      <c r="AE116" s="77">
        <v>33.1</v>
      </c>
      <c r="AF116" s="77">
        <v>0</v>
      </c>
      <c r="AG116" s="77">
        <v>0</v>
      </c>
      <c r="AH116" s="56"/>
      <c r="AI116" s="16">
        <f>SUM(Table3[[#This Row],[Inv1]:[Inv3]])</f>
        <v>23601.4</v>
      </c>
      <c r="AJ116" s="16">
        <f>IF((Table3[[#This Row],[33 kV Outgoinng Export Reading]]-Z115)*1000&gt;0,(Table3[[#This Row],[33 kV Outgoinng Export Reading]]-Z115)*1000,0)</f>
        <v>23400.000000008731</v>
      </c>
      <c r="AK116" s="16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67">
        <f t="shared" si="16"/>
        <v>12.166666666666666</v>
      </c>
      <c r="AN116" s="67"/>
    </row>
    <row r="117" spans="1:40" x14ac:dyDescent="0.3">
      <c r="A117" s="171">
        <f>YEAR(Table3[[#This Row],[Date]])+IF(MONTH(Table3[[#This Row],[Date]])&gt;=4,1,0)</f>
        <v>2026</v>
      </c>
      <c r="B117" s="56">
        <f>YEAR(Table3[[#This Row],[Date]])</f>
        <v>2025</v>
      </c>
      <c r="C117" s="56" t="s">
        <v>1070</v>
      </c>
      <c r="D117" s="56" t="s">
        <v>1070</v>
      </c>
      <c r="E117" s="6" t="str">
        <f>TEXT(Table3[[#This Row],[Date]],"mmm-yy")</f>
        <v>Jul-25</v>
      </c>
      <c r="F117" s="56">
        <f>DAY(EOMONTH(Table3[[#This Row],[Month Year]],0))</f>
        <v>31</v>
      </c>
      <c r="G117" s="58">
        <f t="shared" si="7"/>
        <v>45858</v>
      </c>
      <c r="H117" s="17">
        <f>'Modelling New'!$AR$1</f>
        <v>8.0208999999999993</v>
      </c>
      <c r="I117" s="88">
        <v>0.25972222222222224</v>
      </c>
      <c r="J117" s="88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79">
        <f>SUM(Table3[[#This Row],[Inv1_U1]:[Inv1_U4]])</f>
        <v>10292.4</v>
      </c>
      <c r="X117" s="80">
        <f>SUM(Table3[[#This Row],[Inv2_U1]:[Inv2_U4]])</f>
        <v>9829.7999999999993</v>
      </c>
      <c r="Y117" s="81">
        <f>SUM(Table3[[#This Row],[Inv3_U1]:[Inv3_U4]])</f>
        <v>10541.1</v>
      </c>
      <c r="Z117" s="59">
        <v>90870.95</v>
      </c>
      <c r="AA117" s="59">
        <v>407.4</v>
      </c>
      <c r="AB117" s="56"/>
      <c r="AC117" s="77">
        <v>4.76</v>
      </c>
      <c r="AD117" s="78">
        <v>0</v>
      </c>
      <c r="AE117" s="77">
        <v>36.56</v>
      </c>
      <c r="AF117" s="77">
        <v>0</v>
      </c>
      <c r="AG117" s="77">
        <v>0</v>
      </c>
      <c r="AH117" s="56"/>
      <c r="AI117" s="16">
        <f>SUM(Table3[[#This Row],[Inv1]:[Inv3]])</f>
        <v>30663.299999999996</v>
      </c>
      <c r="AJ117" s="16">
        <f>IF((Table3[[#This Row],[33 kV Outgoinng Export Reading]]-Z116)*1000&gt;0,(Table3[[#This Row],[33 kV Outgoinng Export Reading]]-Z116)*1000,0)</f>
        <v>30399.999999994179</v>
      </c>
      <c r="AK117" s="16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67">
        <f t="shared" si="16"/>
        <v>12.399999999999999</v>
      </c>
      <c r="AN117" s="67"/>
    </row>
    <row r="118" spans="1:40" x14ac:dyDescent="0.3">
      <c r="A118" s="171">
        <f>YEAR(Table3[[#This Row],[Date]])+IF(MONTH(Table3[[#This Row],[Date]])&gt;=4,1,0)</f>
        <v>2026</v>
      </c>
      <c r="B118" s="56">
        <f>YEAR(Table3[[#This Row],[Date]])</f>
        <v>2025</v>
      </c>
      <c r="C118" s="56" t="s">
        <v>1070</v>
      </c>
      <c r="D118" s="56" t="s">
        <v>1070</v>
      </c>
      <c r="E118" s="6" t="str">
        <f>TEXT(Table3[[#This Row],[Date]],"mmm-yy")</f>
        <v>Jul-25</v>
      </c>
      <c r="F118" s="56">
        <f>DAY(EOMONTH(Table3[[#This Row],[Month Year]],0))</f>
        <v>31</v>
      </c>
      <c r="G118" s="58">
        <f t="shared" si="7"/>
        <v>45859</v>
      </c>
      <c r="H118" s="17">
        <f>'Modelling New'!$AR$1</f>
        <v>8.0208999999999993</v>
      </c>
      <c r="I118" s="88">
        <v>0.25694444444444442</v>
      </c>
      <c r="J118" s="88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79">
        <f>SUM(Table3[[#This Row],[Inv1_U1]:[Inv1_U4]])</f>
        <v>8069.9000000000005</v>
      </c>
      <c r="X118" s="80">
        <f>SUM(Table3[[#This Row],[Inv2_U1]:[Inv2_U4]])</f>
        <v>8198.1</v>
      </c>
      <c r="Y118" s="81">
        <f>SUM(Table3[[#This Row],[Inv3_U1]:[Inv3_U4]])</f>
        <v>8695.5</v>
      </c>
      <c r="Z118" s="59">
        <v>90895.7</v>
      </c>
      <c r="AA118" s="59">
        <v>407.5</v>
      </c>
      <c r="AB118" s="56"/>
      <c r="AC118" s="77">
        <v>4.0999999999999996</v>
      </c>
      <c r="AD118" s="78">
        <v>0</v>
      </c>
      <c r="AE118" s="77">
        <v>35.08</v>
      </c>
      <c r="AF118" s="77">
        <v>0</v>
      </c>
      <c r="AG118" s="77">
        <v>0</v>
      </c>
      <c r="AH118" s="56"/>
      <c r="AI118" s="16">
        <f>SUM(Table3[[#This Row],[Inv1]:[Inv3]])</f>
        <v>24963.5</v>
      </c>
      <c r="AJ118" s="16">
        <f>IF((Table3[[#This Row],[33 kV Outgoinng Export Reading]]-Z117)*1000&gt;0,(Table3[[#This Row],[33 kV Outgoinng Export Reading]]-Z117)*1000,0)</f>
        <v>24750</v>
      </c>
      <c r="AK118" s="16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67">
        <f t="shared" si="16"/>
        <v>12.616666666666667</v>
      </c>
      <c r="AN118" s="67"/>
    </row>
    <row r="119" spans="1:40" x14ac:dyDescent="0.3">
      <c r="A119" s="171">
        <f>YEAR(Table3[[#This Row],[Date]])+IF(MONTH(Table3[[#This Row],[Date]])&gt;=4,1,0)</f>
        <v>2026</v>
      </c>
      <c r="B119" s="56">
        <f>YEAR(Table3[[#This Row],[Date]])</f>
        <v>2025</v>
      </c>
      <c r="C119" s="56" t="s">
        <v>1070</v>
      </c>
      <c r="D119" s="56" t="s">
        <v>1070</v>
      </c>
      <c r="E119" s="6" t="str">
        <f>TEXT(Table3[[#This Row],[Date]],"mmm-yy")</f>
        <v>Jul-25</v>
      </c>
      <c r="F119" s="56">
        <f>DAY(EOMONTH(Table3[[#This Row],[Month Year]],0))</f>
        <v>31</v>
      </c>
      <c r="G119" s="58">
        <f t="shared" si="7"/>
        <v>45860</v>
      </c>
      <c r="H119" s="17">
        <f>'Modelling New'!$AR$1</f>
        <v>8.0208999999999993</v>
      </c>
      <c r="I119" s="88">
        <v>0.2638888888888889</v>
      </c>
      <c r="J119" s="88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79">
        <f>SUM(Table3[[#This Row],[Inv1_U1]:[Inv1_U4]])</f>
        <v>8658.4</v>
      </c>
      <c r="X119" s="80">
        <f>SUM(Table3[[#This Row],[Inv2_U1]:[Inv2_U4]])</f>
        <v>8493.2000000000007</v>
      </c>
      <c r="Y119" s="81">
        <f>SUM(Table3[[#This Row],[Inv3_U1]:[Inv3_U4]])</f>
        <v>9027.5</v>
      </c>
      <c r="Z119" s="59">
        <v>90921.65</v>
      </c>
      <c r="AA119" s="59">
        <v>407.6</v>
      </c>
      <c r="AB119" s="56"/>
      <c r="AC119" s="77">
        <v>4.3</v>
      </c>
      <c r="AD119" s="78">
        <v>0</v>
      </c>
      <c r="AE119" s="77">
        <v>34.57</v>
      </c>
      <c r="AF119" s="77">
        <v>0</v>
      </c>
      <c r="AG119" s="77">
        <v>0</v>
      </c>
      <c r="AH119" s="56"/>
      <c r="AI119" s="16">
        <f>SUM(Table3[[#This Row],[Inv1]:[Inv3]])</f>
        <v>26179.1</v>
      </c>
      <c r="AJ119" s="16">
        <f>IF((Table3[[#This Row],[33 kV Outgoinng Export Reading]]-Z118)*1000&gt;0,(Table3[[#This Row],[33 kV Outgoinng Export Reading]]-Z118)*1000,0)</f>
        <v>25949.99999999709</v>
      </c>
      <c r="AK119" s="16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67">
        <f t="shared" si="16"/>
        <v>12.333333333333332</v>
      </c>
      <c r="AN119" s="67"/>
    </row>
    <row r="120" spans="1:40" x14ac:dyDescent="0.3">
      <c r="A120" s="171">
        <f>YEAR(Table3[[#This Row],[Date]])+IF(MONTH(Table3[[#This Row],[Date]])&gt;=4,1,0)</f>
        <v>2026</v>
      </c>
      <c r="B120" s="56">
        <f>YEAR(Table3[[#This Row],[Date]])</f>
        <v>2025</v>
      </c>
      <c r="C120" s="56" t="s">
        <v>1070</v>
      </c>
      <c r="D120" s="56" t="s">
        <v>1070</v>
      </c>
      <c r="E120" s="6" t="str">
        <f>TEXT(Table3[[#This Row],[Date]],"mmm-yy")</f>
        <v>Jul-25</v>
      </c>
      <c r="F120" s="56">
        <f>DAY(EOMONTH(Table3[[#This Row],[Month Year]],0))</f>
        <v>31</v>
      </c>
      <c r="G120" s="58">
        <f t="shared" si="7"/>
        <v>45861</v>
      </c>
      <c r="H120" s="17">
        <f>'Modelling New'!$AR$1</f>
        <v>8.0208999999999993</v>
      </c>
      <c r="I120" s="88">
        <v>0.26666666666666666</v>
      </c>
      <c r="J120" s="88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79">
        <f>SUM(Table3[[#This Row],[Inv1_U1]:[Inv1_U4]])</f>
        <v>4954.7999999999993</v>
      </c>
      <c r="X120" s="80">
        <f>SUM(Table3[[#This Row],[Inv2_U1]:[Inv2_U4]])</f>
        <v>4736.2</v>
      </c>
      <c r="Y120" s="81">
        <f>SUM(Table3[[#This Row],[Inv3_U1]:[Inv3_U4]])</f>
        <v>4997.2000000000007</v>
      </c>
      <c r="Z120" s="59">
        <v>90936.2</v>
      </c>
      <c r="AA120" s="59">
        <v>407.7</v>
      </c>
      <c r="AB120" s="56"/>
      <c r="AC120" s="77">
        <v>2.08</v>
      </c>
      <c r="AD120" s="78">
        <v>0</v>
      </c>
      <c r="AE120" s="77">
        <v>28.73</v>
      </c>
      <c r="AF120" s="77">
        <v>0</v>
      </c>
      <c r="AG120" s="77">
        <v>0</v>
      </c>
      <c r="AH120" s="56"/>
      <c r="AI120" s="16">
        <f>SUM(Table3[[#This Row],[Inv1]:[Inv3]])</f>
        <v>14688.2</v>
      </c>
      <c r="AJ120" s="16">
        <f>IF((Table3[[#This Row],[33 kV Outgoinng Export Reading]]-Z119)*1000&gt;0,(Table3[[#This Row],[33 kV Outgoinng Export Reading]]-Z119)*1000,0)</f>
        <v>14550.00000000291</v>
      </c>
      <c r="AK120" s="16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67">
        <f t="shared" si="16"/>
        <v>12.250000000000002</v>
      </c>
      <c r="AN120" s="67"/>
    </row>
    <row r="121" spans="1:40" x14ac:dyDescent="0.3">
      <c r="A121" s="171">
        <f>YEAR(Table3[[#This Row],[Date]])+IF(MONTH(Table3[[#This Row],[Date]])&gt;=4,1,0)</f>
        <v>2026</v>
      </c>
      <c r="B121" s="56">
        <f>YEAR(Table3[[#This Row],[Date]])</f>
        <v>2025</v>
      </c>
      <c r="C121" s="56" t="s">
        <v>1070</v>
      </c>
      <c r="D121" s="56" t="s">
        <v>1070</v>
      </c>
      <c r="E121" s="6" t="str">
        <f>TEXT(Table3[[#This Row],[Date]],"mmm-yy")</f>
        <v>Jul-25</v>
      </c>
      <c r="F121" s="56">
        <f>DAY(EOMONTH(Table3[[#This Row],[Month Year]],0))</f>
        <v>31</v>
      </c>
      <c r="G121" s="58">
        <f t="shared" si="7"/>
        <v>45862</v>
      </c>
      <c r="H121" s="17">
        <f>'Modelling New'!$AR$1</f>
        <v>8.0208999999999993</v>
      </c>
      <c r="I121" s="88">
        <v>0.27916666666666667</v>
      </c>
      <c r="J121" s="88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79">
        <f>SUM(Table3[[#This Row],[Inv1_U1]:[Inv1_U4]])</f>
        <v>4251.8</v>
      </c>
      <c r="X121" s="80">
        <f>SUM(Table3[[#This Row],[Inv2_U1]:[Inv2_U4]])</f>
        <v>4050.5</v>
      </c>
      <c r="Y121" s="81">
        <f>SUM(Table3[[#This Row],[Inv3_U1]:[Inv3_U4]])</f>
        <v>4311.1000000000004</v>
      </c>
      <c r="Z121" s="59">
        <v>90948.7</v>
      </c>
      <c r="AA121" s="59">
        <v>407.8</v>
      </c>
      <c r="AB121" s="56"/>
      <c r="AC121" s="77">
        <v>2.06</v>
      </c>
      <c r="AD121" s="78">
        <v>0</v>
      </c>
      <c r="AE121" s="77">
        <v>28.75</v>
      </c>
      <c r="AF121" s="77">
        <v>0</v>
      </c>
      <c r="AG121" s="77">
        <v>0</v>
      </c>
      <c r="AH121" s="56"/>
      <c r="AI121" s="16">
        <f>SUM(Table3[[#This Row],[Inv1]:[Inv3]])</f>
        <v>12613.4</v>
      </c>
      <c r="AJ121" s="16">
        <f>IF((Table3[[#This Row],[33 kV Outgoinng Export Reading]]-Z120)*1000&gt;0,(Table3[[#This Row],[33 kV Outgoinng Export Reading]]-Z120)*1000,0)</f>
        <v>12500</v>
      </c>
      <c r="AK121" s="16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67">
        <f t="shared" ref="AM121:AM126" si="17">IFERROR((J121-I121)*24,"")</f>
        <v>11.95</v>
      </c>
      <c r="AN121" s="67"/>
    </row>
    <row r="122" spans="1:40" x14ac:dyDescent="0.3">
      <c r="A122" s="171">
        <f>YEAR(Table3[[#This Row],[Date]])+IF(MONTH(Table3[[#This Row],[Date]])&gt;=4,1,0)</f>
        <v>2026</v>
      </c>
      <c r="B122" s="56">
        <f>YEAR(Table3[[#This Row],[Date]])</f>
        <v>2025</v>
      </c>
      <c r="C122" s="56" t="s">
        <v>1070</v>
      </c>
      <c r="D122" s="56" t="s">
        <v>1070</v>
      </c>
      <c r="E122" s="6" t="str">
        <f>TEXT(Table3[[#This Row],[Date]],"mmm-yy")</f>
        <v>Jul-25</v>
      </c>
      <c r="F122" s="56">
        <f>DAY(EOMONTH(Table3[[#This Row],[Month Year]],0))</f>
        <v>31</v>
      </c>
      <c r="G122" s="58">
        <f t="shared" si="7"/>
        <v>45863</v>
      </c>
      <c r="H122" s="17">
        <f>'Modelling New'!$AR$1</f>
        <v>8.0208999999999993</v>
      </c>
      <c r="I122" s="88">
        <v>0.26527777777777778</v>
      </c>
      <c r="J122" s="88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79">
        <f>SUM(Table3[[#This Row],[Inv1_U1]:[Inv1_U4]])</f>
        <v>4352.5</v>
      </c>
      <c r="X122" s="80">
        <f>SUM(Table3[[#This Row],[Inv2_U1]:[Inv2_U4]])</f>
        <v>4158.8999999999996</v>
      </c>
      <c r="Y122" s="81">
        <f>SUM(Table3[[#This Row],[Inv3_U1]:[Inv3_U4]])</f>
        <v>4373.5</v>
      </c>
      <c r="Z122" s="59">
        <v>90961.5</v>
      </c>
      <c r="AA122" s="59">
        <v>407.9</v>
      </c>
      <c r="AB122" s="56"/>
      <c r="AC122" s="77">
        <v>1.83</v>
      </c>
      <c r="AD122" s="78">
        <v>0</v>
      </c>
      <c r="AE122" s="77">
        <v>27.27</v>
      </c>
      <c r="AF122" s="77">
        <v>0</v>
      </c>
      <c r="AG122" s="77">
        <v>0</v>
      </c>
      <c r="AH122" s="56"/>
      <c r="AI122" s="16">
        <f>SUM(Table3[[#This Row],[Inv1]:[Inv3]])</f>
        <v>12884.9</v>
      </c>
      <c r="AJ122" s="16">
        <f>IF((Table3[[#This Row],[33 kV Outgoinng Export Reading]]-Z121)*1000&gt;0,(Table3[[#This Row],[33 kV Outgoinng Export Reading]]-Z121)*1000,0)</f>
        <v>12800.00000000291</v>
      </c>
      <c r="AK122" s="16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67">
        <f t="shared" si="17"/>
        <v>11.933333333333332</v>
      </c>
      <c r="AN122" s="67"/>
    </row>
    <row r="123" spans="1:40" x14ac:dyDescent="0.3">
      <c r="A123" s="171">
        <f>YEAR(Table3[[#This Row],[Date]])+IF(MONTH(Table3[[#This Row],[Date]])&gt;=4,1,0)</f>
        <v>2026</v>
      </c>
      <c r="B123" s="56">
        <f>YEAR(Table3[[#This Row],[Date]])</f>
        <v>2025</v>
      </c>
      <c r="C123" s="56" t="s">
        <v>1070</v>
      </c>
      <c r="D123" s="56" t="s">
        <v>1070</v>
      </c>
      <c r="E123" s="6" t="str">
        <f>TEXT(Table3[[#This Row],[Date]],"mmm-yy")</f>
        <v>Jul-25</v>
      </c>
      <c r="F123" s="56">
        <f>DAY(EOMONTH(Table3[[#This Row],[Month Year]],0))</f>
        <v>31</v>
      </c>
      <c r="G123" s="58">
        <f t="shared" si="7"/>
        <v>45864</v>
      </c>
      <c r="H123" s="17">
        <f>'Modelling New'!$AR$1</f>
        <v>8.0208999999999993</v>
      </c>
      <c r="I123" s="88">
        <v>0.26527777777777778</v>
      </c>
      <c r="J123" s="88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79">
        <f>SUM(Table3[[#This Row],[Inv1_U1]:[Inv1_U4]])</f>
        <v>3145.6</v>
      </c>
      <c r="X123" s="80">
        <f>SUM(Table3[[#This Row],[Inv2_U1]:[Inv2_U4]])</f>
        <v>1976.8999999999999</v>
      </c>
      <c r="Y123" s="81">
        <f>SUM(Table3[[#This Row],[Inv3_U1]:[Inv3_U4]])</f>
        <v>3184.1</v>
      </c>
      <c r="Z123" s="59">
        <v>90969.75</v>
      </c>
      <c r="AA123" s="59">
        <v>408</v>
      </c>
      <c r="AB123" s="56"/>
      <c r="AC123" s="77">
        <v>1.33</v>
      </c>
      <c r="AD123" s="78">
        <v>0</v>
      </c>
      <c r="AE123" s="77">
        <v>25.51</v>
      </c>
      <c r="AF123" s="77">
        <v>0</v>
      </c>
      <c r="AG123" s="77">
        <v>0</v>
      </c>
      <c r="AH123" s="56"/>
      <c r="AI123" s="16">
        <f>SUM(Table3[[#This Row],[Inv1]:[Inv3]])</f>
        <v>8306.6</v>
      </c>
      <c r="AJ123" s="16">
        <f>IF((Table3[[#This Row],[33 kV Outgoinng Export Reading]]-Z122)*1000&gt;0,(Table3[[#This Row],[33 kV Outgoinng Export Reading]]-Z122)*1000,0)</f>
        <v>8250</v>
      </c>
      <c r="AK123" s="16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67">
        <f t="shared" si="17"/>
        <v>11.916666666666666</v>
      </c>
      <c r="AN123" s="67"/>
    </row>
    <row r="124" spans="1:40" x14ac:dyDescent="0.3">
      <c r="A124" s="171">
        <f>YEAR(Table3[[#This Row],[Date]])+IF(MONTH(Table3[[#This Row],[Date]])&gt;=4,1,0)</f>
        <v>2026</v>
      </c>
      <c r="B124" s="56">
        <f>YEAR(Table3[[#This Row],[Date]])</f>
        <v>2025</v>
      </c>
      <c r="C124" s="56" t="s">
        <v>1070</v>
      </c>
      <c r="D124" s="56" t="s">
        <v>1070</v>
      </c>
      <c r="E124" s="6" t="str">
        <f>TEXT(Table3[[#This Row],[Date]],"mmm-yy")</f>
        <v>Jul-25</v>
      </c>
      <c r="F124" s="56">
        <f>DAY(EOMONTH(Table3[[#This Row],[Month Year]],0))</f>
        <v>31</v>
      </c>
      <c r="G124" s="58">
        <f t="shared" si="7"/>
        <v>45865</v>
      </c>
      <c r="H124" s="17">
        <f>'Modelling New'!$AR$1</f>
        <v>8.0208999999999993</v>
      </c>
      <c r="I124" s="88">
        <v>0.25694444444444442</v>
      </c>
      <c r="J124" s="88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79">
        <f>SUM(Table3[[#This Row],[Inv1_U1]:[Inv1_U4]])</f>
        <v>7634.2000000000007</v>
      </c>
      <c r="X124" s="80">
        <f>SUM(Table3[[#This Row],[Inv2_U1]:[Inv2_U4]])</f>
        <v>7179.5</v>
      </c>
      <c r="Y124" s="81">
        <f>SUM(Table3[[#This Row],[Inv3_U1]:[Inv3_U4]])</f>
        <v>7855.4999999999991</v>
      </c>
      <c r="Z124" s="59">
        <v>90992.2</v>
      </c>
      <c r="AA124" s="59">
        <v>408.1</v>
      </c>
      <c r="AB124" s="56"/>
      <c r="AC124" s="77">
        <v>4.7699999999999996</v>
      </c>
      <c r="AD124" s="78">
        <v>0</v>
      </c>
      <c r="AE124" s="77">
        <v>37.36</v>
      </c>
      <c r="AF124" s="77">
        <v>0</v>
      </c>
      <c r="AG124" s="77">
        <v>0</v>
      </c>
      <c r="AH124" s="56"/>
      <c r="AI124" s="16">
        <f>SUM(Table3[[#This Row],[Inv1]:[Inv3]])</f>
        <v>22669.200000000001</v>
      </c>
      <c r="AJ124" s="16">
        <f>IF((Table3[[#This Row],[33 kV Outgoinng Export Reading]]-Z123)*1000&gt;0,(Table3[[#This Row],[33 kV Outgoinng Export Reading]]-Z123)*1000,0)</f>
        <v>22449.99999999709</v>
      </c>
      <c r="AK124" s="16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67">
        <f t="shared" si="17"/>
        <v>12.566666666666666</v>
      </c>
      <c r="AN124" s="67"/>
    </row>
    <row r="125" spans="1:40" x14ac:dyDescent="0.3">
      <c r="A125" s="171">
        <f>YEAR(Table3[[#This Row],[Date]])+IF(MONTH(Table3[[#This Row],[Date]])&gt;=4,1,0)</f>
        <v>2026</v>
      </c>
      <c r="B125" s="56">
        <f>YEAR(Table3[[#This Row],[Date]])</f>
        <v>2025</v>
      </c>
      <c r="C125" s="56" t="s">
        <v>1070</v>
      </c>
      <c r="D125" s="56" t="s">
        <v>1070</v>
      </c>
      <c r="E125" s="6" t="str">
        <f>TEXT(Table3[[#This Row],[Date]],"mmm-yy")</f>
        <v>Jul-25</v>
      </c>
      <c r="F125" s="56">
        <f>DAY(EOMONTH(Table3[[#This Row],[Month Year]],0))</f>
        <v>31</v>
      </c>
      <c r="G125" s="58">
        <f t="shared" si="7"/>
        <v>45866</v>
      </c>
      <c r="H125" s="17">
        <f>'Modelling New'!$AR$1</f>
        <v>8.0208999999999993</v>
      </c>
      <c r="I125" s="88">
        <v>0.25486111111111109</v>
      </c>
      <c r="J125" s="88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79">
        <f>SUM(Table3[[#This Row],[Inv1_U1]:[Inv1_U4]])</f>
        <v>9505.7000000000007</v>
      </c>
      <c r="X125" s="80">
        <f>SUM(Table3[[#This Row],[Inv2_U1]:[Inv2_U4]])</f>
        <v>8967.5</v>
      </c>
      <c r="Y125" s="81">
        <f>SUM(Table3[[#This Row],[Inv3_U1]:[Inv3_U4]])</f>
        <v>9780.7000000000007</v>
      </c>
      <c r="Z125" s="59">
        <v>91020.2</v>
      </c>
      <c r="AA125" s="59">
        <v>408.2</v>
      </c>
      <c r="AB125" s="56"/>
      <c r="AC125" s="77">
        <v>4.3099999999999996</v>
      </c>
      <c r="AD125" s="78">
        <v>0</v>
      </c>
      <c r="AE125" s="77">
        <v>33.74</v>
      </c>
      <c r="AF125" s="77">
        <v>0</v>
      </c>
      <c r="AG125" s="77">
        <v>0</v>
      </c>
      <c r="AH125" s="56"/>
      <c r="AI125" s="16">
        <f>SUM(Table3[[#This Row],[Inv1]:[Inv3]])</f>
        <v>28253.9</v>
      </c>
      <c r="AJ125" s="16">
        <f>IF((Table3[[#This Row],[33 kV Outgoinng Export Reading]]-Z124)*1000&gt;0,(Table3[[#This Row],[33 kV Outgoinng Export Reading]]-Z124)*1000,0)</f>
        <v>28000</v>
      </c>
      <c r="AK125" s="16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67">
        <f t="shared" si="17"/>
        <v>12.533333333333335</v>
      </c>
      <c r="AN125" s="67"/>
    </row>
    <row r="126" spans="1:40" x14ac:dyDescent="0.3">
      <c r="A126" s="171">
        <f>YEAR(Table3[[#This Row],[Date]])+IF(MONTH(Table3[[#This Row],[Date]])&gt;=4,1,0)</f>
        <v>2026</v>
      </c>
      <c r="B126" s="56">
        <f>YEAR(Table3[[#This Row],[Date]])</f>
        <v>2025</v>
      </c>
      <c r="C126" s="56" t="s">
        <v>1070</v>
      </c>
      <c r="D126" s="56" t="s">
        <v>1070</v>
      </c>
      <c r="E126" s="6" t="str">
        <f>TEXT(Table3[[#This Row],[Date]],"mmm-yy")</f>
        <v>Jul-25</v>
      </c>
      <c r="F126" s="56">
        <f>DAY(EOMONTH(Table3[[#This Row],[Month Year]],0))</f>
        <v>31</v>
      </c>
      <c r="G126" s="58">
        <f t="shared" si="7"/>
        <v>45867</v>
      </c>
      <c r="H126" s="17">
        <f>'Modelling New'!$AR$1</f>
        <v>8.0208999999999993</v>
      </c>
      <c r="I126" s="88">
        <v>0.25486111111111109</v>
      </c>
      <c r="J126" s="88">
        <v>0.77222222222222225</v>
      </c>
      <c r="K126" s="3">
        <v>3206.6</v>
      </c>
      <c r="L126" s="3">
        <v>3203.5</v>
      </c>
      <c r="M126" s="3">
        <v>0</v>
      </c>
      <c r="N126" s="3">
        <v>3288.2</v>
      </c>
      <c r="O126" s="3">
        <v>3052.8</v>
      </c>
      <c r="P126" s="3">
        <v>3032.9</v>
      </c>
      <c r="Q126" s="3">
        <v>3147.3</v>
      </c>
      <c r="R126" s="3">
        <v>0</v>
      </c>
      <c r="S126" s="3">
        <v>2461.4</v>
      </c>
      <c r="T126" s="3">
        <v>2471.4</v>
      </c>
      <c r="U126" s="3">
        <v>2460.3000000000002</v>
      </c>
      <c r="V126" s="3">
        <v>2527.9</v>
      </c>
      <c r="W126" s="79">
        <f>SUM(Table3[[#This Row],[Inv1_U1]:[Inv1_U4]])</f>
        <v>9698.2999999999993</v>
      </c>
      <c r="X126" s="80">
        <f>SUM(Table3[[#This Row],[Inv2_U1]:[Inv2_U4]])</f>
        <v>9233</v>
      </c>
      <c r="Y126" s="81">
        <f>SUM(Table3[[#This Row],[Inv3_U1]:[Inv3_U4]])</f>
        <v>9921</v>
      </c>
      <c r="Z126" s="59">
        <v>91048.8</v>
      </c>
      <c r="AA126" s="59">
        <v>408.3</v>
      </c>
      <c r="AB126" s="56"/>
      <c r="AC126" s="77">
        <v>4.45</v>
      </c>
      <c r="AD126" s="78">
        <v>0</v>
      </c>
      <c r="AE126" s="77">
        <v>33.26</v>
      </c>
      <c r="AF126" s="77">
        <v>0</v>
      </c>
      <c r="AG126" s="77">
        <v>0</v>
      </c>
      <c r="AH126" s="56"/>
      <c r="AI126" s="16">
        <f>SUM(Table3[[#This Row],[Inv1]:[Inv3]])</f>
        <v>28852.3</v>
      </c>
      <c r="AJ126" s="16">
        <f>IF((Table3[[#This Row],[33 kV Outgoinng Export Reading]]-Z125)*1000&gt;0,(Table3[[#This Row],[33 kV Outgoinng Export Reading]]-Z125)*1000,0)</f>
        <v>28600.000000005821</v>
      </c>
      <c r="AK126" s="16">
        <f>IF((Table3[[#This Row],[33 kV Outgoinng Import Reading]]-AA125)*1000&gt;0,(Table3[[#This Row],[33 kV Outgoinng Import Reading]]-AA125)*1000,0)</f>
        <v>100.00000000002274</v>
      </c>
      <c r="AL126" s="6">
        <f>Table3[[#This Row],[Export  (kWh)]]-Table3[[#This Row],[Import (kWh)]]</f>
        <v>28500.000000005799</v>
      </c>
      <c r="AM126" s="67">
        <f t="shared" si="17"/>
        <v>12.416666666666668</v>
      </c>
      <c r="AN126" s="67"/>
    </row>
    <row r="127" spans="1:40" x14ac:dyDescent="0.3">
      <c r="A127" s="171">
        <f>YEAR(Table3[[#This Row],[Date]])+IF(MONTH(Table3[[#This Row],[Date]])&gt;=4,1,0)</f>
        <v>2026</v>
      </c>
      <c r="B127" s="56">
        <f>YEAR(Table3[[#This Row],[Date]])</f>
        <v>2025</v>
      </c>
      <c r="C127" s="56" t="s">
        <v>1070</v>
      </c>
      <c r="D127" s="56" t="s">
        <v>1070</v>
      </c>
      <c r="E127" s="6" t="str">
        <f>TEXT(Table3[[#This Row],[Date]],"mmm-yy")</f>
        <v>Jul-25</v>
      </c>
      <c r="F127" s="56">
        <f>DAY(EOMONTH(Table3[[#This Row],[Month Year]],0))</f>
        <v>31</v>
      </c>
      <c r="G127" s="58">
        <f t="shared" si="7"/>
        <v>45868</v>
      </c>
      <c r="H127" s="17">
        <f>'Modelling New'!$AR$1</f>
        <v>8.0208999999999993</v>
      </c>
      <c r="I127" s="88">
        <v>0.2590277777777778</v>
      </c>
      <c r="J127" s="88">
        <v>0.77222222222222225</v>
      </c>
      <c r="K127" s="3">
        <v>2406.3000000000002</v>
      </c>
      <c r="L127" s="3">
        <v>2325.4</v>
      </c>
      <c r="M127" s="3">
        <v>0</v>
      </c>
      <c r="N127" s="3">
        <v>2275.5</v>
      </c>
      <c r="O127" s="3">
        <v>2352</v>
      </c>
      <c r="P127" s="3">
        <v>2214.6999999999998</v>
      </c>
      <c r="Q127" s="3">
        <v>2213.3000000000002</v>
      </c>
      <c r="R127" s="3">
        <v>0</v>
      </c>
      <c r="S127" s="3">
        <v>1928.7</v>
      </c>
      <c r="T127" s="3">
        <v>1761.9</v>
      </c>
      <c r="U127" s="3">
        <v>1813.5</v>
      </c>
      <c r="V127" s="3">
        <v>1803.5</v>
      </c>
      <c r="W127" s="79">
        <f>SUM(Table3[[#This Row],[Inv1_U1]:[Inv1_U4]])</f>
        <v>7007.2000000000007</v>
      </c>
      <c r="X127" s="80">
        <f>SUM(Table3[[#This Row],[Inv2_U1]:[Inv2_U4]])</f>
        <v>6780</v>
      </c>
      <c r="Y127" s="81">
        <f>SUM(Table3[[#This Row],[Inv3_U1]:[Inv3_U4]])</f>
        <v>7307.6</v>
      </c>
      <c r="Z127" s="59">
        <v>91069.7</v>
      </c>
      <c r="AA127" s="59">
        <v>408.4</v>
      </c>
      <c r="AB127" s="56"/>
      <c r="AC127" s="77">
        <v>3.3</v>
      </c>
      <c r="AD127" s="78">
        <v>0</v>
      </c>
      <c r="AE127" s="77">
        <v>30.78</v>
      </c>
      <c r="AF127" s="77">
        <v>0</v>
      </c>
      <c r="AG127" s="77">
        <v>0</v>
      </c>
      <c r="AH127" s="56"/>
      <c r="AI127" s="16">
        <f>SUM(Table3[[#This Row],[Inv1]:[Inv3]])</f>
        <v>21094.800000000003</v>
      </c>
      <c r="AJ127" s="16">
        <f>IF((Table3[[#This Row],[33 kV Outgoinng Export Reading]]-Z126)*1000&gt;0,(Table3[[#This Row],[33 kV Outgoinng Export Reading]]-Z126)*1000,0)</f>
        <v>20899.999999994179</v>
      </c>
      <c r="AK127" s="16">
        <f>IF((Table3[[#This Row],[33 kV Outgoinng Import Reading]]-AA126)*1000&gt;0,(Table3[[#This Row],[33 kV Outgoinng Import Reading]]-AA126)*1000,0)</f>
        <v>99.999999999965894</v>
      </c>
      <c r="AL127" s="6">
        <f>Table3[[#This Row],[Export  (kWh)]]-Table3[[#This Row],[Import (kWh)]]</f>
        <v>20799.999999994212</v>
      </c>
      <c r="AM127" s="67">
        <f>IFERROR((J127-I127)*24,"")</f>
        <v>12.316666666666668</v>
      </c>
      <c r="AN127" s="67"/>
    </row>
    <row r="128" spans="1:40" x14ac:dyDescent="0.3">
      <c r="A128" s="171">
        <f>YEAR(Table3[[#This Row],[Date]])+IF(MONTH(Table3[[#This Row],[Date]])&gt;=4,1,0)</f>
        <v>2026</v>
      </c>
      <c r="B128" s="56">
        <f>YEAR(Table3[[#This Row],[Date]])</f>
        <v>2025</v>
      </c>
      <c r="C128" s="56" t="s">
        <v>1070</v>
      </c>
      <c r="D128" s="56" t="s">
        <v>1070</v>
      </c>
      <c r="E128" s="6" t="str">
        <f>TEXT(Table3[[#This Row],[Date]],"mmm-yy")</f>
        <v>Jul-25</v>
      </c>
      <c r="F128" s="56">
        <f>DAY(EOMONTH(Table3[[#This Row],[Month Year]],0))</f>
        <v>31</v>
      </c>
      <c r="G128" s="58">
        <f t="shared" si="7"/>
        <v>45869</v>
      </c>
      <c r="H128" s="17">
        <f>'Modelling New'!$AR$1</f>
        <v>8.0208999999999993</v>
      </c>
      <c r="I128" s="88">
        <v>0.26041666666666669</v>
      </c>
      <c r="J128" s="88">
        <v>0.77916666666666667</v>
      </c>
      <c r="K128" s="3">
        <v>3324.2</v>
      </c>
      <c r="L128" s="3">
        <v>3378.6</v>
      </c>
      <c r="M128" s="3">
        <v>0</v>
      </c>
      <c r="N128" s="3">
        <v>3327.6</v>
      </c>
      <c r="O128" s="3">
        <v>3226.1</v>
      </c>
      <c r="P128" s="3">
        <v>3262.2</v>
      </c>
      <c r="Q128" s="3">
        <v>3207.6</v>
      </c>
      <c r="R128" s="3">
        <v>0</v>
      </c>
      <c r="S128" s="3">
        <v>2616.1</v>
      </c>
      <c r="T128" s="3">
        <v>2686.6</v>
      </c>
      <c r="U128" s="3">
        <v>2614.1999999999998</v>
      </c>
      <c r="V128" s="3">
        <v>2598.1999999999998</v>
      </c>
      <c r="W128" s="79">
        <v>10030.4</v>
      </c>
      <c r="X128" s="80">
        <v>9695.9</v>
      </c>
      <c r="Y128" s="81">
        <v>10515.099999999999</v>
      </c>
      <c r="Z128" s="59">
        <v>91099.7</v>
      </c>
      <c r="AA128" s="59">
        <v>408.5</v>
      </c>
      <c r="AB128" s="56"/>
      <c r="AC128" s="77">
        <v>4.72</v>
      </c>
      <c r="AD128" s="78">
        <v>0</v>
      </c>
      <c r="AE128" s="77">
        <v>34.56</v>
      </c>
      <c r="AF128" s="77">
        <v>0</v>
      </c>
      <c r="AG128" s="77">
        <v>0</v>
      </c>
      <c r="AH128" s="56"/>
      <c r="AI128" s="16">
        <v>30241.399999999998</v>
      </c>
      <c r="AJ128" s="16">
        <v>30000</v>
      </c>
      <c r="AK128" s="16">
        <f>IF((Table3[[#This Row],[33 kV Outgoinng Import Reading]]-AA127)*1000&gt;0,(Table3[[#This Row],[33 kV Outgoinng Import Reading]]-AA127)*1000,0)</f>
        <v>100.00000000002274</v>
      </c>
      <c r="AL128" s="6">
        <f>Table3[[#This Row],[Export  (kWh)]]-Table3[[#This Row],[Import (kWh)]]</f>
        <v>29899.999999999978</v>
      </c>
      <c r="AM128" s="67">
        <v>12.450000000000001</v>
      </c>
      <c r="AN128" s="67"/>
    </row>
    <row r="129" spans="1:40" x14ac:dyDescent="0.3">
      <c r="A129" s="171">
        <f>YEAR(Table3[[#This Row],[Date]])+IF(MONTH(Table3[[#This Row],[Date]])&gt;=4,1,0)</f>
        <v>2026</v>
      </c>
      <c r="B129" s="56">
        <f>YEAR(Table3[[#This Row],[Date]])</f>
        <v>2025</v>
      </c>
      <c r="C129" s="56" t="s">
        <v>1070</v>
      </c>
      <c r="D129" s="56" t="s">
        <v>1070</v>
      </c>
      <c r="E129" s="6" t="str">
        <f>TEXT(Table3[[#This Row],[Date]],"mmm-yy")</f>
        <v>Aug-25</v>
      </c>
      <c r="F129" s="56">
        <f>DAY(EOMONTH(Table3[[#This Row],[Month Year]],0))</f>
        <v>31</v>
      </c>
      <c r="G129" s="58">
        <f t="shared" si="7"/>
        <v>45870</v>
      </c>
      <c r="H129" s="17">
        <f>'Modelling New'!$AR$1</f>
        <v>8.0208999999999993</v>
      </c>
      <c r="I129" s="88">
        <v>0.25833333333333336</v>
      </c>
      <c r="J129" s="88">
        <v>0.78055555555555556</v>
      </c>
      <c r="K129" s="3">
        <v>4118</v>
      </c>
      <c r="L129" s="3">
        <v>4116.7</v>
      </c>
      <c r="M129" s="3">
        <v>0</v>
      </c>
      <c r="N129" s="3">
        <v>4198.3999999999996</v>
      </c>
      <c r="O129" s="3">
        <v>3972.3</v>
      </c>
      <c r="P129" s="3">
        <v>3943.5</v>
      </c>
      <c r="Q129" s="3">
        <v>4040.4</v>
      </c>
      <c r="R129" s="3">
        <v>0</v>
      </c>
      <c r="S129" s="3">
        <v>3221.5</v>
      </c>
      <c r="T129" s="3">
        <v>3233.9</v>
      </c>
      <c r="U129" s="3">
        <v>3296.5</v>
      </c>
      <c r="V129" s="3">
        <v>3197.8</v>
      </c>
      <c r="W129" s="79">
        <v>12433.1</v>
      </c>
      <c r="X129" s="80">
        <v>11956.2</v>
      </c>
      <c r="Y129" s="81">
        <v>12949.7</v>
      </c>
      <c r="Z129" s="59">
        <v>91136.7</v>
      </c>
      <c r="AA129" s="59">
        <v>408.6</v>
      </c>
      <c r="AB129" s="56"/>
      <c r="AC129" s="77">
        <v>6.03</v>
      </c>
      <c r="AD129" s="78">
        <v>0</v>
      </c>
      <c r="AE129" s="77">
        <v>37.76</v>
      </c>
      <c r="AF129" s="77">
        <v>0</v>
      </c>
      <c r="AG129" s="77">
        <v>0</v>
      </c>
      <c r="AH129" s="56"/>
      <c r="AI129" s="16">
        <v>37339</v>
      </c>
      <c r="AJ129" s="16">
        <v>37000</v>
      </c>
      <c r="AK129" s="16">
        <f>IF((Table3[[#This Row],[33 kV Outgoinng Import Reading]]-AA128)*1000&gt;0,(Table3[[#This Row],[33 kV Outgoinng Import Reading]]-AA128)*1000,0)</f>
        <v>100.00000000002274</v>
      </c>
      <c r="AL129" s="6">
        <f>Table3[[#This Row],[Export  (kWh)]]-Table3[[#This Row],[Import (kWh)]]</f>
        <v>36899.999999999978</v>
      </c>
      <c r="AM129" s="67">
        <v>12.533333333333331</v>
      </c>
      <c r="AN129" s="67"/>
    </row>
    <row r="130" spans="1:40" x14ac:dyDescent="0.3">
      <c r="A130" s="171">
        <f>YEAR(Table3[[#This Row],[Date]])+IF(MONTH(Table3[[#This Row],[Date]])&gt;=4,1,0)</f>
        <v>2026</v>
      </c>
      <c r="B130" s="56">
        <f>YEAR(Table3[[#This Row],[Date]])</f>
        <v>2025</v>
      </c>
      <c r="C130" s="56" t="s">
        <v>1070</v>
      </c>
      <c r="D130" s="56" t="s">
        <v>1070</v>
      </c>
      <c r="E130" s="6" t="str">
        <f>TEXT(Table3[[#This Row],[Date]],"mmm-yy")</f>
        <v>Aug-25</v>
      </c>
      <c r="F130" s="56">
        <f>DAY(EOMONTH(Table3[[#This Row],[Month Year]],0))</f>
        <v>31</v>
      </c>
      <c r="G130" s="58">
        <f t="shared" si="7"/>
        <v>45871</v>
      </c>
      <c r="H130" s="17">
        <f>'Modelling New'!$AR$1</f>
        <v>8.0208999999999993</v>
      </c>
      <c r="I130" s="88">
        <v>0.25</v>
      </c>
      <c r="J130" s="88">
        <v>0.78055555555555556</v>
      </c>
      <c r="K130" s="3">
        <v>4011.2</v>
      </c>
      <c r="L130" s="3">
        <v>3916.5</v>
      </c>
      <c r="M130" s="3">
        <v>0</v>
      </c>
      <c r="N130" s="3">
        <v>3919.3</v>
      </c>
      <c r="O130" s="3">
        <v>3869</v>
      </c>
      <c r="P130" s="3">
        <v>3748.7</v>
      </c>
      <c r="Q130" s="3">
        <v>3756.9</v>
      </c>
      <c r="R130" s="3">
        <v>0</v>
      </c>
      <c r="S130" s="3">
        <v>2981.6</v>
      </c>
      <c r="T130" s="3">
        <v>2991.9</v>
      </c>
      <c r="U130" s="3">
        <v>2978.5</v>
      </c>
      <c r="V130" s="3">
        <v>3047.7</v>
      </c>
      <c r="W130" s="79">
        <f>SUM(Table3[[#This Row],[Inv1_U1]:[Inv1_U4]])</f>
        <v>11847</v>
      </c>
      <c r="X130" s="80">
        <f>SUM(Table3[[#This Row],[Inv2_U1]:[Inv2_U4]])</f>
        <v>11374.6</v>
      </c>
      <c r="Y130" s="81">
        <f>SUM(Table3[[#This Row],[Inv3_U1]:[Inv3_U4]])</f>
        <v>11999.7</v>
      </c>
      <c r="Z130" s="59">
        <v>91171.6</v>
      </c>
      <c r="AA130" s="59">
        <v>408.75</v>
      </c>
      <c r="AB130" s="56"/>
      <c r="AC130" s="77">
        <v>5.49</v>
      </c>
      <c r="AD130" s="78">
        <v>0</v>
      </c>
      <c r="AE130" s="77">
        <v>38.03</v>
      </c>
      <c r="AF130" s="77">
        <v>0</v>
      </c>
      <c r="AG130" s="77">
        <v>0</v>
      </c>
      <c r="AH130" s="56"/>
      <c r="AI130" s="16">
        <f>SUM(Table3[[#This Row],[Inv1]:[Inv3]])</f>
        <v>35221.300000000003</v>
      </c>
      <c r="AJ130" s="16">
        <f>IF((Table3[[#This Row],[33 kV Outgoinng Export Reading]]-Z129)*1000&gt;0,(Table3[[#This Row],[33 kV Outgoinng Export Reading]]-Z129)*1000,0)</f>
        <v>34900.000000008731</v>
      </c>
      <c r="AK130" s="16">
        <f>IF((Table3[[#This Row],[33 kV Outgoinng Import Reading]]-AA129)*1000&gt;0,(Table3[[#This Row],[33 kV Outgoinng Import Reading]]-AA129)*1000,0)</f>
        <v>149.99999999997726</v>
      </c>
      <c r="AL130" s="6">
        <f>Table3[[#This Row],[Export  (kWh)]]-Table3[[#This Row],[Import (kWh)]]</f>
        <v>34750.000000008753</v>
      </c>
      <c r="AM130" s="67">
        <f t="shared" ref="AM130" si="18">IFERROR((J130-I130)*24,"")</f>
        <v>12.733333333333334</v>
      </c>
      <c r="AN130" s="67"/>
    </row>
    <row r="131" spans="1:40" x14ac:dyDescent="0.3">
      <c r="A131" s="171">
        <f>YEAR(Table3[[#This Row],[Date]])+IF(MONTH(Table3[[#This Row],[Date]])&gt;=4,1,0)</f>
        <v>2026</v>
      </c>
      <c r="B131" s="56">
        <f>YEAR(Table3[[#This Row],[Date]])</f>
        <v>2025</v>
      </c>
      <c r="C131" s="56" t="s">
        <v>1070</v>
      </c>
      <c r="D131" s="56" t="s">
        <v>1070</v>
      </c>
      <c r="E131" s="6" t="str">
        <f>TEXT(Table3[[#This Row],[Date]],"mmm-yy")</f>
        <v>Aug-25</v>
      </c>
      <c r="F131" s="56">
        <f>DAY(EOMONTH(Table3[[#This Row],[Month Year]],0))</f>
        <v>31</v>
      </c>
      <c r="G131" s="58">
        <f t="shared" si="7"/>
        <v>45872</v>
      </c>
      <c r="H131" s="248">
        <f>'Modelling New'!$AR$1</f>
        <v>8.0208999999999993</v>
      </c>
      <c r="I131" s="88">
        <v>0.25</v>
      </c>
      <c r="J131" s="88">
        <v>0.77777777777777779</v>
      </c>
      <c r="K131" s="3">
        <v>3300.5</v>
      </c>
      <c r="L131" s="3">
        <v>3357.8</v>
      </c>
      <c r="M131" s="3">
        <v>0</v>
      </c>
      <c r="N131" s="3">
        <v>3302</v>
      </c>
      <c r="O131" s="3">
        <v>3168.9</v>
      </c>
      <c r="P131" s="3">
        <v>3207.6</v>
      </c>
      <c r="Q131" s="3">
        <v>3149.2</v>
      </c>
      <c r="R131" s="3">
        <v>0</v>
      </c>
      <c r="S131" s="3">
        <v>2560.3000000000002</v>
      </c>
      <c r="T131" s="3">
        <v>2511.4</v>
      </c>
      <c r="U131" s="3">
        <v>2500.4</v>
      </c>
      <c r="V131" s="3">
        <v>2485.6</v>
      </c>
      <c r="W131" s="79">
        <f>SUM(Table3[[#This Row],[Inv1_U1]:[Inv1_U4]])</f>
        <v>9960.2999999999993</v>
      </c>
      <c r="X131" s="80">
        <f>SUM(Table3[[#This Row],[Inv2_U1]:[Inv2_U4]])</f>
        <v>9525.7000000000007</v>
      </c>
      <c r="Y131" s="81">
        <f>SUM(Table3[[#This Row],[Inv3_U1]:[Inv3_U4]])</f>
        <v>10057.700000000001</v>
      </c>
      <c r="Z131" s="59">
        <v>91200.9</v>
      </c>
      <c r="AA131" s="59">
        <v>408.85</v>
      </c>
      <c r="AB131" s="56"/>
      <c r="AC131" s="77">
        <v>4.6900000000000004</v>
      </c>
      <c r="AD131" s="78">
        <v>0</v>
      </c>
      <c r="AE131" s="77">
        <v>36.92</v>
      </c>
      <c r="AF131" s="77">
        <v>0</v>
      </c>
      <c r="AG131" s="77">
        <v>0</v>
      </c>
      <c r="AH131" s="56"/>
      <c r="AI131" s="16">
        <f>SUM(Table3[[#This Row],[Inv1]:[Inv3]])</f>
        <v>29543.7</v>
      </c>
      <c r="AJ131" s="16">
        <f>IF((Table3[[#This Row],[33 kV Outgoinng Export Reading]]-Z130)*1000&gt;0,(Table3[[#This Row],[33 kV Outgoinng Export Reading]]-Z130)*1000,0)</f>
        <v>29299.999999988358</v>
      </c>
      <c r="AK131" s="16">
        <f>IF((Table3[[#This Row],[33 kV Outgoinng Import Reading]]-AA130)*1000&gt;0,(Table3[[#This Row],[33 kV Outgoinng Import Reading]]-AA130)*1000,0)</f>
        <v>100.00000000002274</v>
      </c>
      <c r="AL131" s="6">
        <f>Table3[[#This Row],[Export  (kWh)]]-Table3[[#This Row],[Import (kWh)]]</f>
        <v>29199.999999988337</v>
      </c>
      <c r="AM131" s="67">
        <f t="shared" ref="AM131:AM165" si="19">IFERROR((J131-I131)*24,"")</f>
        <v>12.666666666666668</v>
      </c>
      <c r="AN131" s="67"/>
    </row>
    <row r="132" spans="1:40" x14ac:dyDescent="0.3">
      <c r="A132" s="171">
        <f>YEAR(Table3[[#This Row],[Date]])+IF(MONTH(Table3[[#This Row],[Date]])&gt;=4,1,0)</f>
        <v>2026</v>
      </c>
      <c r="B132" s="56">
        <f>YEAR(Table3[[#This Row],[Date]])</f>
        <v>2025</v>
      </c>
      <c r="C132" s="56"/>
      <c r="D132" s="56"/>
      <c r="E132" s="6" t="str">
        <f>TEXT(Table3[[#This Row],[Date]],"mmm-yy")</f>
        <v>Aug-25</v>
      </c>
      <c r="F132" s="56">
        <f>DAY(EOMONTH(Table3[[#This Row],[Month Year]],0))</f>
        <v>31</v>
      </c>
      <c r="G132" s="58">
        <f t="shared" si="7"/>
        <v>45873</v>
      </c>
      <c r="H132" s="248">
        <f>'Modelling New'!$AR$1</f>
        <v>8.0208999999999993</v>
      </c>
      <c r="I132" s="88"/>
      <c r="J132" s="88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9"/>
      <c r="X132" s="80"/>
      <c r="Y132" s="81"/>
      <c r="Z132" s="59"/>
      <c r="AA132" s="59"/>
      <c r="AB132" s="56"/>
      <c r="AC132" s="77"/>
      <c r="AD132" s="78"/>
      <c r="AE132" s="77"/>
      <c r="AF132" s="77"/>
      <c r="AG132" s="77"/>
      <c r="AH132" s="56"/>
      <c r="AI132" s="16">
        <f>SUM(Table3[[#This Row],[Inv1]:[Inv3]])</f>
        <v>0</v>
      </c>
      <c r="AJ132" s="16">
        <f>IF((Table3[[#This Row],[33 kV Outgoinng Export Reading]]-Z131)*1000&gt;0,(Table3[[#This Row],[33 kV Outgoinng Export Reading]]-Z131)*1000,0)</f>
        <v>0</v>
      </c>
      <c r="AK132" s="16"/>
      <c r="AL132" s="6">
        <f>Table3[[#This Row],[Export  (kWh)]]-Table3[[#This Row],[Import (kWh)]]</f>
        <v>0</v>
      </c>
      <c r="AM132" s="67">
        <f t="shared" si="19"/>
        <v>0</v>
      </c>
      <c r="AN132" s="67"/>
    </row>
    <row r="133" spans="1:40" x14ac:dyDescent="0.3">
      <c r="A133" s="171">
        <f>YEAR(Table3[[#This Row],[Date]])+IF(MONTH(Table3[[#This Row],[Date]])&gt;=4,1,0)</f>
        <v>2026</v>
      </c>
      <c r="B133" s="56">
        <f>YEAR(Table3[[#This Row],[Date]])</f>
        <v>2025</v>
      </c>
      <c r="C133" s="56"/>
      <c r="D133" s="56"/>
      <c r="E133" s="6" t="str">
        <f>TEXT(Table3[[#This Row],[Date]],"mmm-yy")</f>
        <v>Aug-25</v>
      </c>
      <c r="F133" s="56">
        <f>DAY(EOMONTH(Table3[[#This Row],[Month Year]],0))</f>
        <v>31</v>
      </c>
      <c r="G133" s="58">
        <f t="shared" ref="G133:G165" si="20">G132+1</f>
        <v>45874</v>
      </c>
      <c r="H133" s="248">
        <f>'Modelling New'!$AR$1</f>
        <v>8.0208999999999993</v>
      </c>
      <c r="I133" s="88"/>
      <c r="J133" s="88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9"/>
      <c r="X133" s="80"/>
      <c r="Y133" s="81"/>
      <c r="Z133" s="59"/>
      <c r="AA133" s="59"/>
      <c r="AB133" s="56"/>
      <c r="AC133" s="77"/>
      <c r="AD133" s="78"/>
      <c r="AE133" s="77"/>
      <c r="AF133" s="77"/>
      <c r="AG133" s="77"/>
      <c r="AH133" s="56"/>
      <c r="AI133" s="16">
        <f>SUM(Table3[[#This Row],[Inv1]:[Inv3]])</f>
        <v>0</v>
      </c>
      <c r="AJ133" s="16">
        <f>IF((Table3[[#This Row],[33 kV Outgoinng Export Reading]]-Z132)*1000&gt;0,(Table3[[#This Row],[33 kV Outgoinng Export Reading]]-Z132)*1000,0)</f>
        <v>0</v>
      </c>
      <c r="AK133" s="16"/>
      <c r="AL133" s="6">
        <f>Table3[[#This Row],[Export  (kWh)]]-Table3[[#This Row],[Import (kWh)]]</f>
        <v>0</v>
      </c>
      <c r="AM133" s="67">
        <f t="shared" si="19"/>
        <v>0</v>
      </c>
      <c r="AN133" s="67"/>
    </row>
    <row r="134" spans="1:40" x14ac:dyDescent="0.3">
      <c r="A134" s="171">
        <f>YEAR(Table3[[#This Row],[Date]])+IF(MONTH(Table3[[#This Row],[Date]])&gt;=4,1,0)</f>
        <v>2026</v>
      </c>
      <c r="B134" s="56">
        <f>YEAR(Table3[[#This Row],[Date]])</f>
        <v>2025</v>
      </c>
      <c r="C134" s="56"/>
      <c r="D134" s="56"/>
      <c r="E134" s="6" t="str">
        <f>TEXT(Table3[[#This Row],[Date]],"mmm-yy")</f>
        <v>Aug-25</v>
      </c>
      <c r="F134" s="56">
        <f>DAY(EOMONTH(Table3[[#This Row],[Month Year]],0))</f>
        <v>31</v>
      </c>
      <c r="G134" s="58">
        <f t="shared" si="20"/>
        <v>45875</v>
      </c>
      <c r="H134" s="248">
        <f>'Modelling New'!$AR$1</f>
        <v>8.0208999999999993</v>
      </c>
      <c r="I134" s="88"/>
      <c r="J134" s="88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9"/>
      <c r="X134" s="80"/>
      <c r="Y134" s="81"/>
      <c r="Z134" s="59"/>
      <c r="AA134" s="59"/>
      <c r="AB134" s="56"/>
      <c r="AC134" s="77"/>
      <c r="AD134" s="78"/>
      <c r="AE134" s="77"/>
      <c r="AF134" s="77"/>
      <c r="AG134" s="77"/>
      <c r="AH134" s="56"/>
      <c r="AI134" s="16">
        <f>SUM(Table3[[#This Row],[Inv1]:[Inv3]])</f>
        <v>0</v>
      </c>
      <c r="AJ134" s="16">
        <f>IF((Table3[[#This Row],[33 kV Outgoinng Export Reading]]-Z133)*1000&gt;0,(Table3[[#This Row],[33 kV Outgoinng Export Reading]]-Z133)*1000,0)</f>
        <v>0</v>
      </c>
      <c r="AK134" s="16"/>
      <c r="AL134" s="6">
        <f>Table3[[#This Row],[Export  (kWh)]]-Table3[[#This Row],[Import (kWh)]]</f>
        <v>0</v>
      </c>
      <c r="AM134" s="67">
        <f t="shared" si="19"/>
        <v>0</v>
      </c>
      <c r="AN134" s="67"/>
    </row>
    <row r="135" spans="1:40" x14ac:dyDescent="0.3">
      <c r="A135" s="171">
        <f>YEAR(Table3[[#This Row],[Date]])+IF(MONTH(Table3[[#This Row],[Date]])&gt;=4,1,0)</f>
        <v>2026</v>
      </c>
      <c r="B135" s="56">
        <f>YEAR(Table3[[#This Row],[Date]])</f>
        <v>2025</v>
      </c>
      <c r="C135" s="56"/>
      <c r="D135" s="56"/>
      <c r="E135" s="6" t="str">
        <f>TEXT(Table3[[#This Row],[Date]],"mmm-yy")</f>
        <v>Aug-25</v>
      </c>
      <c r="F135" s="56">
        <f>DAY(EOMONTH(Table3[[#This Row],[Month Year]],0))</f>
        <v>31</v>
      </c>
      <c r="G135" s="58">
        <f t="shared" si="20"/>
        <v>45876</v>
      </c>
      <c r="H135" s="248">
        <f>'Modelling New'!$AR$1</f>
        <v>8.0208999999999993</v>
      </c>
      <c r="I135" s="88"/>
      <c r="J135" s="88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9"/>
      <c r="X135" s="80"/>
      <c r="Y135" s="81"/>
      <c r="Z135" s="59"/>
      <c r="AA135" s="59"/>
      <c r="AB135" s="56"/>
      <c r="AC135" s="77"/>
      <c r="AD135" s="78"/>
      <c r="AE135" s="77"/>
      <c r="AF135" s="77"/>
      <c r="AG135" s="77"/>
      <c r="AH135" s="56"/>
      <c r="AI135" s="16">
        <f>SUM(Table3[[#This Row],[Inv1]:[Inv3]])</f>
        <v>0</v>
      </c>
      <c r="AJ135" s="16">
        <f>IF((Table3[[#This Row],[33 kV Outgoinng Export Reading]]-Z134)*1000&gt;0,(Table3[[#This Row],[33 kV Outgoinng Export Reading]]-Z134)*1000,0)</f>
        <v>0</v>
      </c>
      <c r="AK135" s="16"/>
      <c r="AL135" s="6">
        <f>Table3[[#This Row],[Export  (kWh)]]-Table3[[#This Row],[Import (kWh)]]</f>
        <v>0</v>
      </c>
      <c r="AM135" s="67">
        <f t="shared" si="19"/>
        <v>0</v>
      </c>
      <c r="AN135" s="67"/>
    </row>
    <row r="136" spans="1:40" x14ac:dyDescent="0.3">
      <c r="A136" s="171">
        <f>YEAR(Table3[[#This Row],[Date]])+IF(MONTH(Table3[[#This Row],[Date]])&gt;=4,1,0)</f>
        <v>2026</v>
      </c>
      <c r="B136" s="56">
        <f>YEAR(Table3[[#This Row],[Date]])</f>
        <v>2025</v>
      </c>
      <c r="C136" s="56"/>
      <c r="D136" s="56"/>
      <c r="E136" s="6" t="str">
        <f>TEXT(Table3[[#This Row],[Date]],"mmm-yy")</f>
        <v>Aug-25</v>
      </c>
      <c r="F136" s="56">
        <f>DAY(EOMONTH(Table3[[#This Row],[Month Year]],0))</f>
        <v>31</v>
      </c>
      <c r="G136" s="58">
        <f t="shared" si="20"/>
        <v>45877</v>
      </c>
      <c r="H136" s="248">
        <f>'Modelling New'!$AR$1</f>
        <v>8.0208999999999993</v>
      </c>
      <c r="I136" s="88"/>
      <c r="J136" s="88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9"/>
      <c r="X136" s="80"/>
      <c r="Y136" s="81"/>
      <c r="Z136" s="59"/>
      <c r="AA136" s="59"/>
      <c r="AB136" s="56"/>
      <c r="AC136" s="77"/>
      <c r="AD136" s="78"/>
      <c r="AE136" s="77"/>
      <c r="AF136" s="77"/>
      <c r="AG136" s="77"/>
      <c r="AH136" s="56"/>
      <c r="AI136" s="16">
        <f>SUM(Table3[[#This Row],[Inv1]:[Inv3]])</f>
        <v>0</v>
      </c>
      <c r="AJ136" s="16">
        <f>IF((Table3[[#This Row],[33 kV Outgoinng Export Reading]]-Z135)*1000&gt;0,(Table3[[#This Row],[33 kV Outgoinng Export Reading]]-Z135)*1000,0)</f>
        <v>0</v>
      </c>
      <c r="AK136" s="16"/>
      <c r="AL136" s="6">
        <f>Table3[[#This Row],[Export  (kWh)]]-Table3[[#This Row],[Import (kWh)]]</f>
        <v>0</v>
      </c>
      <c r="AM136" s="67">
        <f t="shared" si="19"/>
        <v>0</v>
      </c>
      <c r="AN136" s="67"/>
    </row>
    <row r="137" spans="1:40" x14ac:dyDescent="0.3">
      <c r="A137" s="171">
        <f>YEAR(Table3[[#This Row],[Date]])+IF(MONTH(Table3[[#This Row],[Date]])&gt;=4,1,0)</f>
        <v>2026</v>
      </c>
      <c r="B137" s="56">
        <f>YEAR(Table3[[#This Row],[Date]])</f>
        <v>2025</v>
      </c>
      <c r="C137" s="56"/>
      <c r="D137" s="56"/>
      <c r="E137" s="6" t="str">
        <f>TEXT(Table3[[#This Row],[Date]],"mmm-yy")</f>
        <v>Aug-25</v>
      </c>
      <c r="F137" s="56">
        <f>DAY(EOMONTH(Table3[[#This Row],[Month Year]],0))</f>
        <v>31</v>
      </c>
      <c r="G137" s="58">
        <f t="shared" si="20"/>
        <v>45878</v>
      </c>
      <c r="H137" s="248">
        <f>'Modelling New'!$AR$1</f>
        <v>8.0208999999999993</v>
      </c>
      <c r="I137" s="88"/>
      <c r="J137" s="88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9"/>
      <c r="X137" s="80"/>
      <c r="Y137" s="81"/>
      <c r="Z137" s="59"/>
      <c r="AA137" s="59"/>
      <c r="AB137" s="56"/>
      <c r="AC137" s="77"/>
      <c r="AD137" s="78"/>
      <c r="AE137" s="77"/>
      <c r="AF137" s="77"/>
      <c r="AG137" s="77"/>
      <c r="AH137" s="56"/>
      <c r="AI137" s="16">
        <f>SUM(Table3[[#This Row],[Inv1]:[Inv3]])</f>
        <v>0</v>
      </c>
      <c r="AJ137" s="16">
        <f>IF((Table3[[#This Row],[33 kV Outgoinng Export Reading]]-Z136)*1000&gt;0,(Table3[[#This Row],[33 kV Outgoinng Export Reading]]-Z136)*1000,0)</f>
        <v>0</v>
      </c>
      <c r="AK137" s="16"/>
      <c r="AL137" s="6">
        <f>Table3[[#This Row],[Export  (kWh)]]-Table3[[#This Row],[Import (kWh)]]</f>
        <v>0</v>
      </c>
      <c r="AM137" s="67">
        <f t="shared" si="19"/>
        <v>0</v>
      </c>
      <c r="AN137" s="67"/>
    </row>
    <row r="138" spans="1:40" x14ac:dyDescent="0.3">
      <c r="A138" s="171">
        <f>YEAR(Table3[[#This Row],[Date]])+IF(MONTH(Table3[[#This Row],[Date]])&gt;=4,1,0)</f>
        <v>2026</v>
      </c>
      <c r="B138" s="56">
        <f>YEAR(Table3[[#This Row],[Date]])</f>
        <v>2025</v>
      </c>
      <c r="C138" s="56"/>
      <c r="D138" s="56"/>
      <c r="E138" s="6" t="str">
        <f>TEXT(Table3[[#This Row],[Date]],"mmm-yy")</f>
        <v>Aug-25</v>
      </c>
      <c r="F138" s="56">
        <f>DAY(EOMONTH(Table3[[#This Row],[Month Year]],0))</f>
        <v>31</v>
      </c>
      <c r="G138" s="58">
        <f t="shared" si="20"/>
        <v>45879</v>
      </c>
      <c r="H138" s="248">
        <f>'Modelling New'!$AR$1</f>
        <v>8.0208999999999993</v>
      </c>
      <c r="I138" s="88"/>
      <c r="J138" s="88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9"/>
      <c r="X138" s="80"/>
      <c r="Y138" s="81"/>
      <c r="Z138" s="59"/>
      <c r="AA138" s="59"/>
      <c r="AB138" s="56"/>
      <c r="AC138" s="77"/>
      <c r="AD138" s="78"/>
      <c r="AE138" s="77"/>
      <c r="AF138" s="77"/>
      <c r="AG138" s="77"/>
      <c r="AH138" s="56"/>
      <c r="AI138" s="16">
        <f>SUM(Table3[[#This Row],[Inv1]:[Inv3]])</f>
        <v>0</v>
      </c>
      <c r="AJ138" s="16">
        <f>IF((Table3[[#This Row],[33 kV Outgoinng Export Reading]]-Z137)*1000&gt;0,(Table3[[#This Row],[33 kV Outgoinng Export Reading]]-Z137)*1000,0)</f>
        <v>0</v>
      </c>
      <c r="AK138" s="16"/>
      <c r="AL138" s="6">
        <f>Table3[[#This Row],[Export  (kWh)]]-Table3[[#This Row],[Import (kWh)]]</f>
        <v>0</v>
      </c>
      <c r="AM138" s="67">
        <f t="shared" si="19"/>
        <v>0</v>
      </c>
      <c r="AN138" s="67"/>
    </row>
    <row r="139" spans="1:40" x14ac:dyDescent="0.3">
      <c r="A139" s="171">
        <f>YEAR(Table3[[#This Row],[Date]])+IF(MONTH(Table3[[#This Row],[Date]])&gt;=4,1,0)</f>
        <v>2026</v>
      </c>
      <c r="B139" s="56">
        <f>YEAR(Table3[[#This Row],[Date]])</f>
        <v>2025</v>
      </c>
      <c r="C139" s="56"/>
      <c r="D139" s="56"/>
      <c r="E139" s="6" t="str">
        <f>TEXT(Table3[[#This Row],[Date]],"mmm-yy")</f>
        <v>Aug-25</v>
      </c>
      <c r="F139" s="56">
        <f>DAY(EOMONTH(Table3[[#This Row],[Month Year]],0))</f>
        <v>31</v>
      </c>
      <c r="G139" s="58">
        <f t="shared" si="20"/>
        <v>45880</v>
      </c>
      <c r="H139" s="248">
        <f>'Modelling New'!$AR$1</f>
        <v>8.0208999999999993</v>
      </c>
      <c r="I139" s="88"/>
      <c r="J139" s="88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9"/>
      <c r="X139" s="80"/>
      <c r="Y139" s="81"/>
      <c r="Z139" s="59"/>
      <c r="AA139" s="59"/>
      <c r="AB139" s="56"/>
      <c r="AC139" s="77"/>
      <c r="AD139" s="78"/>
      <c r="AE139" s="77"/>
      <c r="AF139" s="77"/>
      <c r="AG139" s="77"/>
      <c r="AH139" s="56"/>
      <c r="AI139" s="16">
        <f>SUM(Table3[[#This Row],[Inv1]:[Inv3]])</f>
        <v>0</v>
      </c>
      <c r="AJ139" s="16">
        <f>IF((Table3[[#This Row],[33 kV Outgoinng Export Reading]]-Z138)*1000&gt;0,(Table3[[#This Row],[33 kV Outgoinng Export Reading]]-Z138)*1000,0)</f>
        <v>0</v>
      </c>
      <c r="AK139" s="16"/>
      <c r="AL139" s="6">
        <f>Table3[[#This Row],[Export  (kWh)]]-Table3[[#This Row],[Import (kWh)]]</f>
        <v>0</v>
      </c>
      <c r="AM139" s="67">
        <f t="shared" si="19"/>
        <v>0</v>
      </c>
      <c r="AN139" s="67"/>
    </row>
    <row r="140" spans="1:40" x14ac:dyDescent="0.3">
      <c r="A140" s="171">
        <f>YEAR(Table3[[#This Row],[Date]])+IF(MONTH(Table3[[#This Row],[Date]])&gt;=4,1,0)</f>
        <v>2026</v>
      </c>
      <c r="B140" s="56">
        <f>YEAR(Table3[[#This Row],[Date]])</f>
        <v>2025</v>
      </c>
      <c r="C140" s="56"/>
      <c r="D140" s="56"/>
      <c r="E140" s="6" t="str">
        <f>TEXT(Table3[[#This Row],[Date]],"mmm-yy")</f>
        <v>Aug-25</v>
      </c>
      <c r="F140" s="56">
        <f>DAY(EOMONTH(Table3[[#This Row],[Month Year]],0))</f>
        <v>31</v>
      </c>
      <c r="G140" s="58">
        <f t="shared" si="20"/>
        <v>45881</v>
      </c>
      <c r="H140" s="248">
        <f>'Modelling New'!$AR$1</f>
        <v>8.0208999999999993</v>
      </c>
      <c r="I140" s="88"/>
      <c r="J140" s="88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9"/>
      <c r="X140" s="80"/>
      <c r="Y140" s="81"/>
      <c r="Z140" s="59"/>
      <c r="AA140" s="59"/>
      <c r="AB140" s="56"/>
      <c r="AC140" s="77"/>
      <c r="AD140" s="78"/>
      <c r="AE140" s="77"/>
      <c r="AF140" s="77"/>
      <c r="AG140" s="77"/>
      <c r="AH140" s="56"/>
      <c r="AI140" s="16">
        <f>SUM(Table3[[#This Row],[Inv1]:[Inv3]])</f>
        <v>0</v>
      </c>
      <c r="AJ140" s="16">
        <f>IF((Table3[[#This Row],[33 kV Outgoinng Export Reading]]-Z139)*1000&gt;0,(Table3[[#This Row],[33 kV Outgoinng Export Reading]]-Z139)*1000,0)</f>
        <v>0</v>
      </c>
      <c r="AK140" s="16"/>
      <c r="AL140" s="6">
        <f>Table3[[#This Row],[Export  (kWh)]]-Table3[[#This Row],[Import (kWh)]]</f>
        <v>0</v>
      </c>
      <c r="AM140" s="67">
        <f t="shared" si="19"/>
        <v>0</v>
      </c>
      <c r="AN140" s="67"/>
    </row>
    <row r="141" spans="1:40" x14ac:dyDescent="0.3">
      <c r="A141" s="171">
        <f>YEAR(Table3[[#This Row],[Date]])+IF(MONTH(Table3[[#This Row],[Date]])&gt;=4,1,0)</f>
        <v>2026</v>
      </c>
      <c r="B141" s="56">
        <f>YEAR(Table3[[#This Row],[Date]])</f>
        <v>2025</v>
      </c>
      <c r="C141" s="56"/>
      <c r="D141" s="56"/>
      <c r="E141" s="6" t="str">
        <f>TEXT(Table3[[#This Row],[Date]],"mmm-yy")</f>
        <v>Aug-25</v>
      </c>
      <c r="F141" s="56">
        <f>DAY(EOMONTH(Table3[[#This Row],[Month Year]],0))</f>
        <v>31</v>
      </c>
      <c r="G141" s="58">
        <f t="shared" si="20"/>
        <v>45882</v>
      </c>
      <c r="H141" s="248">
        <f>'Modelling New'!$AR$1</f>
        <v>8.0208999999999993</v>
      </c>
      <c r="I141" s="88"/>
      <c r="J141" s="88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9"/>
      <c r="X141" s="80"/>
      <c r="Y141" s="81"/>
      <c r="Z141" s="59"/>
      <c r="AA141" s="59"/>
      <c r="AB141" s="56"/>
      <c r="AC141" s="77"/>
      <c r="AD141" s="78"/>
      <c r="AE141" s="77"/>
      <c r="AF141" s="77"/>
      <c r="AG141" s="77"/>
      <c r="AH141" s="56"/>
      <c r="AI141" s="16">
        <f>SUM(Table3[[#This Row],[Inv1]:[Inv3]])</f>
        <v>0</v>
      </c>
      <c r="AJ141" s="16">
        <f>IF((Table3[[#This Row],[33 kV Outgoinng Export Reading]]-Z140)*1000&gt;0,(Table3[[#This Row],[33 kV Outgoinng Export Reading]]-Z140)*1000,0)</f>
        <v>0</v>
      </c>
      <c r="AK141" s="16"/>
      <c r="AL141" s="6">
        <f>Table3[[#This Row],[Export  (kWh)]]-Table3[[#This Row],[Import (kWh)]]</f>
        <v>0</v>
      </c>
      <c r="AM141" s="67">
        <f t="shared" si="19"/>
        <v>0</v>
      </c>
      <c r="AN141" s="67"/>
    </row>
    <row r="142" spans="1:40" x14ac:dyDescent="0.3">
      <c r="A142" s="171">
        <f>YEAR(Table3[[#This Row],[Date]])+IF(MONTH(Table3[[#This Row],[Date]])&gt;=4,1,0)</f>
        <v>2026</v>
      </c>
      <c r="B142" s="56">
        <f>YEAR(Table3[[#This Row],[Date]])</f>
        <v>2025</v>
      </c>
      <c r="C142" s="56"/>
      <c r="D142" s="56"/>
      <c r="E142" s="6" t="str">
        <f>TEXT(Table3[[#This Row],[Date]],"mmm-yy")</f>
        <v>Aug-25</v>
      </c>
      <c r="F142" s="56">
        <f>DAY(EOMONTH(Table3[[#This Row],[Month Year]],0))</f>
        <v>31</v>
      </c>
      <c r="G142" s="58">
        <f t="shared" si="20"/>
        <v>45883</v>
      </c>
      <c r="H142" s="248">
        <f>'Modelling New'!$AR$1</f>
        <v>8.0208999999999993</v>
      </c>
      <c r="I142" s="88"/>
      <c r="J142" s="88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9"/>
      <c r="X142" s="80"/>
      <c r="Y142" s="81"/>
      <c r="Z142" s="59"/>
      <c r="AA142" s="59"/>
      <c r="AB142" s="56"/>
      <c r="AC142" s="77"/>
      <c r="AD142" s="78"/>
      <c r="AE142" s="77"/>
      <c r="AF142" s="77"/>
      <c r="AG142" s="77"/>
      <c r="AH142" s="56"/>
      <c r="AI142" s="16">
        <f>SUM(Table3[[#This Row],[Inv1]:[Inv3]])</f>
        <v>0</v>
      </c>
      <c r="AJ142" s="16">
        <f>IF((Table3[[#This Row],[33 kV Outgoinng Export Reading]]-Z141)*1000&gt;0,(Table3[[#This Row],[33 kV Outgoinng Export Reading]]-Z141)*1000,0)</f>
        <v>0</v>
      </c>
      <c r="AK142" s="16"/>
      <c r="AL142" s="6">
        <f>Table3[[#This Row],[Export  (kWh)]]-Table3[[#This Row],[Import (kWh)]]</f>
        <v>0</v>
      </c>
      <c r="AM142" s="67">
        <f t="shared" si="19"/>
        <v>0</v>
      </c>
      <c r="AN142" s="67"/>
    </row>
    <row r="143" spans="1:40" x14ac:dyDescent="0.3">
      <c r="A143" s="171">
        <f>YEAR(Table3[[#This Row],[Date]])+IF(MONTH(Table3[[#This Row],[Date]])&gt;=4,1,0)</f>
        <v>2026</v>
      </c>
      <c r="B143" s="56">
        <f>YEAR(Table3[[#This Row],[Date]])</f>
        <v>2025</v>
      </c>
      <c r="C143" s="56"/>
      <c r="D143" s="56"/>
      <c r="E143" s="6" t="str">
        <f>TEXT(Table3[[#This Row],[Date]],"mmm-yy")</f>
        <v>Aug-25</v>
      </c>
      <c r="F143" s="56">
        <f>DAY(EOMONTH(Table3[[#This Row],[Month Year]],0))</f>
        <v>31</v>
      </c>
      <c r="G143" s="58">
        <f t="shared" si="20"/>
        <v>45884</v>
      </c>
      <c r="H143" s="248">
        <f>'Modelling New'!$AR$1</f>
        <v>8.0208999999999993</v>
      </c>
      <c r="I143" s="88"/>
      <c r="J143" s="88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9"/>
      <c r="X143" s="80"/>
      <c r="Y143" s="81"/>
      <c r="Z143" s="59"/>
      <c r="AA143" s="59"/>
      <c r="AB143" s="56"/>
      <c r="AC143" s="77"/>
      <c r="AD143" s="78"/>
      <c r="AE143" s="77"/>
      <c r="AF143" s="77"/>
      <c r="AG143" s="77"/>
      <c r="AH143" s="56"/>
      <c r="AI143" s="16">
        <f>SUM(Table3[[#This Row],[Inv1]:[Inv3]])</f>
        <v>0</v>
      </c>
      <c r="AJ143" s="16">
        <f>IF((Table3[[#This Row],[33 kV Outgoinng Export Reading]]-Z142)*1000&gt;0,(Table3[[#This Row],[33 kV Outgoinng Export Reading]]-Z142)*1000,0)</f>
        <v>0</v>
      </c>
      <c r="AK143" s="16"/>
      <c r="AL143" s="6">
        <f>Table3[[#This Row],[Export  (kWh)]]-Table3[[#This Row],[Import (kWh)]]</f>
        <v>0</v>
      </c>
      <c r="AM143" s="67">
        <f t="shared" si="19"/>
        <v>0</v>
      </c>
      <c r="AN143" s="67"/>
    </row>
    <row r="144" spans="1:40" x14ac:dyDescent="0.3">
      <c r="A144" s="171">
        <f>YEAR(Table3[[#This Row],[Date]])+IF(MONTH(Table3[[#This Row],[Date]])&gt;=4,1,0)</f>
        <v>2026</v>
      </c>
      <c r="B144" s="56">
        <f>YEAR(Table3[[#This Row],[Date]])</f>
        <v>2025</v>
      </c>
      <c r="C144" s="56"/>
      <c r="D144" s="56"/>
      <c r="E144" s="6" t="str">
        <f>TEXT(Table3[[#This Row],[Date]],"mmm-yy")</f>
        <v>Aug-25</v>
      </c>
      <c r="F144" s="56">
        <f>DAY(EOMONTH(Table3[[#This Row],[Month Year]],0))</f>
        <v>31</v>
      </c>
      <c r="G144" s="58">
        <f t="shared" si="20"/>
        <v>45885</v>
      </c>
      <c r="H144" s="248">
        <f>'Modelling New'!$AR$1</f>
        <v>8.0208999999999993</v>
      </c>
      <c r="I144" s="88"/>
      <c r="J144" s="88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9"/>
      <c r="X144" s="80"/>
      <c r="Y144" s="81"/>
      <c r="Z144" s="59"/>
      <c r="AA144" s="59"/>
      <c r="AB144" s="56"/>
      <c r="AC144" s="77"/>
      <c r="AD144" s="78"/>
      <c r="AE144" s="77"/>
      <c r="AF144" s="77"/>
      <c r="AG144" s="77"/>
      <c r="AH144" s="56"/>
      <c r="AI144" s="16">
        <f>SUM(Table3[[#This Row],[Inv1]:[Inv3]])</f>
        <v>0</v>
      </c>
      <c r="AJ144" s="16">
        <f>IF((Table3[[#This Row],[33 kV Outgoinng Export Reading]]-Z143)*1000&gt;0,(Table3[[#This Row],[33 kV Outgoinng Export Reading]]-Z143)*1000,0)</f>
        <v>0</v>
      </c>
      <c r="AK144" s="16"/>
      <c r="AL144" s="6">
        <f>Table3[[#This Row],[Export  (kWh)]]-Table3[[#This Row],[Import (kWh)]]</f>
        <v>0</v>
      </c>
      <c r="AM144" s="67">
        <f t="shared" si="19"/>
        <v>0</v>
      </c>
      <c r="AN144" s="67"/>
    </row>
    <row r="145" spans="1:40" x14ac:dyDescent="0.3">
      <c r="A145" s="171">
        <f>YEAR(Table3[[#This Row],[Date]])+IF(MONTH(Table3[[#This Row],[Date]])&gt;=4,1,0)</f>
        <v>2026</v>
      </c>
      <c r="B145" s="56">
        <f>YEAR(Table3[[#This Row],[Date]])</f>
        <v>2025</v>
      </c>
      <c r="C145" s="56"/>
      <c r="D145" s="56"/>
      <c r="E145" s="6" t="str">
        <f>TEXT(Table3[[#This Row],[Date]],"mmm-yy")</f>
        <v>Aug-25</v>
      </c>
      <c r="F145" s="56">
        <f>DAY(EOMONTH(Table3[[#This Row],[Month Year]],0))</f>
        <v>31</v>
      </c>
      <c r="G145" s="58">
        <f t="shared" si="20"/>
        <v>45886</v>
      </c>
      <c r="H145" s="248">
        <f>'Modelling New'!$AR$1</f>
        <v>8.0208999999999993</v>
      </c>
      <c r="I145" s="88"/>
      <c r="J145" s="88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9"/>
      <c r="X145" s="80"/>
      <c r="Y145" s="81"/>
      <c r="Z145" s="59"/>
      <c r="AA145" s="59"/>
      <c r="AB145" s="56"/>
      <c r="AC145" s="77"/>
      <c r="AD145" s="78"/>
      <c r="AE145" s="77"/>
      <c r="AF145" s="77"/>
      <c r="AG145" s="77"/>
      <c r="AH145" s="56"/>
      <c r="AI145" s="16">
        <f>SUM(Table3[[#This Row],[Inv1]:[Inv3]])</f>
        <v>0</v>
      </c>
      <c r="AJ145" s="16">
        <f>IF((Table3[[#This Row],[33 kV Outgoinng Export Reading]]-Z144)*1000&gt;0,(Table3[[#This Row],[33 kV Outgoinng Export Reading]]-Z144)*1000,0)</f>
        <v>0</v>
      </c>
      <c r="AK145" s="16"/>
      <c r="AL145" s="6">
        <f>Table3[[#This Row],[Export  (kWh)]]-Table3[[#This Row],[Import (kWh)]]</f>
        <v>0</v>
      </c>
      <c r="AM145" s="67">
        <f t="shared" si="19"/>
        <v>0</v>
      </c>
      <c r="AN145" s="67"/>
    </row>
    <row r="146" spans="1:40" x14ac:dyDescent="0.3">
      <c r="A146" s="171">
        <f>YEAR(Table3[[#This Row],[Date]])+IF(MONTH(Table3[[#This Row],[Date]])&gt;=4,1,0)</f>
        <v>2026</v>
      </c>
      <c r="B146" s="56">
        <f>YEAR(Table3[[#This Row],[Date]])</f>
        <v>2025</v>
      </c>
      <c r="C146" s="56"/>
      <c r="D146" s="56"/>
      <c r="E146" s="6" t="str">
        <f>TEXT(Table3[[#This Row],[Date]],"mmm-yy")</f>
        <v>Aug-25</v>
      </c>
      <c r="F146" s="56">
        <f>DAY(EOMONTH(Table3[[#This Row],[Month Year]],0))</f>
        <v>31</v>
      </c>
      <c r="G146" s="58">
        <f t="shared" si="20"/>
        <v>45887</v>
      </c>
      <c r="H146" s="248">
        <f>'Modelling New'!$AR$1</f>
        <v>8.0208999999999993</v>
      </c>
      <c r="I146" s="88"/>
      <c r="J146" s="88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9"/>
      <c r="X146" s="80"/>
      <c r="Y146" s="81"/>
      <c r="Z146" s="59"/>
      <c r="AA146" s="59"/>
      <c r="AB146" s="56"/>
      <c r="AC146" s="77"/>
      <c r="AD146" s="78"/>
      <c r="AE146" s="77"/>
      <c r="AF146" s="77"/>
      <c r="AG146" s="77"/>
      <c r="AH146" s="56"/>
      <c r="AI146" s="16">
        <f>SUM(Table3[[#This Row],[Inv1]:[Inv3]])</f>
        <v>0</v>
      </c>
      <c r="AJ146" s="16">
        <f>IF((Table3[[#This Row],[33 kV Outgoinng Export Reading]]-Z145)*1000&gt;0,(Table3[[#This Row],[33 kV Outgoinng Export Reading]]-Z145)*1000,0)</f>
        <v>0</v>
      </c>
      <c r="AK146" s="16"/>
      <c r="AL146" s="6">
        <f>Table3[[#This Row],[Export  (kWh)]]-Table3[[#This Row],[Import (kWh)]]</f>
        <v>0</v>
      </c>
      <c r="AM146" s="67">
        <f t="shared" si="19"/>
        <v>0</v>
      </c>
      <c r="AN146" s="67"/>
    </row>
    <row r="147" spans="1:40" x14ac:dyDescent="0.3">
      <c r="A147" s="171">
        <f>YEAR(Table3[[#This Row],[Date]])+IF(MONTH(Table3[[#This Row],[Date]])&gt;=4,1,0)</f>
        <v>2026</v>
      </c>
      <c r="B147" s="56">
        <f>YEAR(Table3[[#This Row],[Date]])</f>
        <v>2025</v>
      </c>
      <c r="C147" s="56"/>
      <c r="D147" s="56"/>
      <c r="E147" s="6" t="str">
        <f>TEXT(Table3[[#This Row],[Date]],"mmm-yy")</f>
        <v>Aug-25</v>
      </c>
      <c r="F147" s="56">
        <f>DAY(EOMONTH(Table3[[#This Row],[Month Year]],0))</f>
        <v>31</v>
      </c>
      <c r="G147" s="58">
        <f t="shared" si="20"/>
        <v>45888</v>
      </c>
      <c r="H147" s="248">
        <f>'Modelling New'!$AR$1</f>
        <v>8.0208999999999993</v>
      </c>
      <c r="I147" s="88"/>
      <c r="J147" s="88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9"/>
      <c r="X147" s="80"/>
      <c r="Y147" s="81"/>
      <c r="Z147" s="59"/>
      <c r="AA147" s="59"/>
      <c r="AB147" s="56"/>
      <c r="AC147" s="77"/>
      <c r="AD147" s="78"/>
      <c r="AE147" s="77"/>
      <c r="AF147" s="77"/>
      <c r="AG147" s="77"/>
      <c r="AH147" s="56"/>
      <c r="AI147" s="16">
        <f>SUM(Table3[[#This Row],[Inv1]:[Inv3]])</f>
        <v>0</v>
      </c>
      <c r="AJ147" s="16">
        <f>IF((Table3[[#This Row],[33 kV Outgoinng Export Reading]]-Z146)*1000&gt;0,(Table3[[#This Row],[33 kV Outgoinng Export Reading]]-Z146)*1000,0)</f>
        <v>0</v>
      </c>
      <c r="AK147" s="16"/>
      <c r="AL147" s="6">
        <f>Table3[[#This Row],[Export  (kWh)]]-Table3[[#This Row],[Import (kWh)]]</f>
        <v>0</v>
      </c>
      <c r="AM147" s="67">
        <f t="shared" si="19"/>
        <v>0</v>
      </c>
      <c r="AN147" s="67"/>
    </row>
    <row r="148" spans="1:40" x14ac:dyDescent="0.3">
      <c r="A148" s="171">
        <f>YEAR(Table3[[#This Row],[Date]])+IF(MONTH(Table3[[#This Row],[Date]])&gt;=4,1,0)</f>
        <v>2026</v>
      </c>
      <c r="B148" s="56">
        <f>YEAR(Table3[[#This Row],[Date]])</f>
        <v>2025</v>
      </c>
      <c r="C148" s="56"/>
      <c r="D148" s="56"/>
      <c r="E148" s="6" t="str">
        <f>TEXT(Table3[[#This Row],[Date]],"mmm-yy")</f>
        <v>Aug-25</v>
      </c>
      <c r="F148" s="56">
        <f>DAY(EOMONTH(Table3[[#This Row],[Month Year]],0))</f>
        <v>31</v>
      </c>
      <c r="G148" s="58">
        <f t="shared" si="20"/>
        <v>45889</v>
      </c>
      <c r="H148" s="248">
        <f>'Modelling New'!$AR$1</f>
        <v>8.0208999999999993</v>
      </c>
      <c r="I148" s="88"/>
      <c r="J148" s="88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9"/>
      <c r="X148" s="80"/>
      <c r="Y148" s="81"/>
      <c r="Z148" s="59"/>
      <c r="AA148" s="59"/>
      <c r="AB148" s="56"/>
      <c r="AC148" s="77"/>
      <c r="AD148" s="78"/>
      <c r="AE148" s="77"/>
      <c r="AF148" s="77"/>
      <c r="AG148" s="77"/>
      <c r="AH148" s="56"/>
      <c r="AI148" s="16">
        <f>SUM(Table3[[#This Row],[Inv1]:[Inv3]])</f>
        <v>0</v>
      </c>
      <c r="AJ148" s="16">
        <f>IF((Table3[[#This Row],[33 kV Outgoinng Export Reading]]-Z147)*1000&gt;0,(Table3[[#This Row],[33 kV Outgoinng Export Reading]]-Z147)*1000,0)</f>
        <v>0</v>
      </c>
      <c r="AK148" s="16"/>
      <c r="AL148" s="6">
        <f>Table3[[#This Row],[Export  (kWh)]]-Table3[[#This Row],[Import (kWh)]]</f>
        <v>0</v>
      </c>
      <c r="AM148" s="67">
        <f t="shared" si="19"/>
        <v>0</v>
      </c>
      <c r="AN148" s="67"/>
    </row>
    <row r="149" spans="1:40" x14ac:dyDescent="0.3">
      <c r="A149" s="171">
        <f>YEAR(Table3[[#This Row],[Date]])+IF(MONTH(Table3[[#This Row],[Date]])&gt;=4,1,0)</f>
        <v>2026</v>
      </c>
      <c r="B149" s="56">
        <f>YEAR(Table3[[#This Row],[Date]])</f>
        <v>2025</v>
      </c>
      <c r="C149" s="56"/>
      <c r="D149" s="56"/>
      <c r="E149" s="6" t="str">
        <f>TEXT(Table3[[#This Row],[Date]],"mmm-yy")</f>
        <v>Aug-25</v>
      </c>
      <c r="F149" s="56">
        <f>DAY(EOMONTH(Table3[[#This Row],[Month Year]],0))</f>
        <v>31</v>
      </c>
      <c r="G149" s="58">
        <f t="shared" si="20"/>
        <v>45890</v>
      </c>
      <c r="H149" s="248">
        <f>'Modelling New'!$AR$1</f>
        <v>8.0208999999999993</v>
      </c>
      <c r="I149" s="88"/>
      <c r="J149" s="8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9"/>
      <c r="X149" s="80"/>
      <c r="Y149" s="81"/>
      <c r="Z149" s="59"/>
      <c r="AA149" s="59"/>
      <c r="AB149" s="56"/>
      <c r="AC149" s="77"/>
      <c r="AD149" s="78"/>
      <c r="AE149" s="77"/>
      <c r="AF149" s="77"/>
      <c r="AG149" s="77"/>
      <c r="AH149" s="56"/>
      <c r="AI149" s="16">
        <f>SUM(Table3[[#This Row],[Inv1]:[Inv3]])</f>
        <v>0</v>
      </c>
      <c r="AJ149" s="16">
        <f>IF((Table3[[#This Row],[33 kV Outgoinng Export Reading]]-Z148)*1000&gt;0,(Table3[[#This Row],[33 kV Outgoinng Export Reading]]-Z148)*1000,0)</f>
        <v>0</v>
      </c>
      <c r="AK149" s="16"/>
      <c r="AL149" s="6">
        <f>Table3[[#This Row],[Export  (kWh)]]-Table3[[#This Row],[Import (kWh)]]</f>
        <v>0</v>
      </c>
      <c r="AM149" s="67">
        <f t="shared" si="19"/>
        <v>0</v>
      </c>
      <c r="AN149" s="67"/>
    </row>
    <row r="150" spans="1:40" x14ac:dyDescent="0.3">
      <c r="A150" s="171">
        <f>YEAR(Table3[[#This Row],[Date]])+IF(MONTH(Table3[[#This Row],[Date]])&gt;=4,1,0)</f>
        <v>2026</v>
      </c>
      <c r="B150" s="56">
        <f>YEAR(Table3[[#This Row],[Date]])</f>
        <v>2025</v>
      </c>
      <c r="C150" s="56"/>
      <c r="D150" s="56"/>
      <c r="E150" s="6" t="str">
        <f>TEXT(Table3[[#This Row],[Date]],"mmm-yy")</f>
        <v>Aug-25</v>
      </c>
      <c r="F150" s="56">
        <f>DAY(EOMONTH(Table3[[#This Row],[Month Year]],0))</f>
        <v>31</v>
      </c>
      <c r="G150" s="58">
        <f t="shared" si="20"/>
        <v>45891</v>
      </c>
      <c r="H150" s="248">
        <f>'Modelling New'!$AR$1</f>
        <v>8.0208999999999993</v>
      </c>
      <c r="I150" s="88"/>
      <c r="J150" s="88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9"/>
      <c r="X150" s="80"/>
      <c r="Y150" s="81"/>
      <c r="Z150" s="59"/>
      <c r="AA150" s="59"/>
      <c r="AB150" s="56"/>
      <c r="AC150" s="77"/>
      <c r="AD150" s="78"/>
      <c r="AE150" s="77"/>
      <c r="AF150" s="77"/>
      <c r="AG150" s="77"/>
      <c r="AH150" s="56"/>
      <c r="AI150" s="16">
        <f>SUM(Table3[[#This Row],[Inv1]:[Inv3]])</f>
        <v>0</v>
      </c>
      <c r="AJ150" s="16">
        <f>IF((Table3[[#This Row],[33 kV Outgoinng Export Reading]]-Z149)*1000&gt;0,(Table3[[#This Row],[33 kV Outgoinng Export Reading]]-Z149)*1000,0)</f>
        <v>0</v>
      </c>
      <c r="AK150" s="16"/>
      <c r="AL150" s="6">
        <f>Table3[[#This Row],[Export  (kWh)]]-Table3[[#This Row],[Import (kWh)]]</f>
        <v>0</v>
      </c>
      <c r="AM150" s="67">
        <f t="shared" si="19"/>
        <v>0</v>
      </c>
      <c r="AN150" s="67"/>
    </row>
    <row r="151" spans="1:40" x14ac:dyDescent="0.3">
      <c r="A151" s="171">
        <f>YEAR(Table3[[#This Row],[Date]])+IF(MONTH(Table3[[#This Row],[Date]])&gt;=4,1,0)</f>
        <v>2026</v>
      </c>
      <c r="B151" s="56">
        <f>YEAR(Table3[[#This Row],[Date]])</f>
        <v>2025</v>
      </c>
      <c r="C151" s="56"/>
      <c r="D151" s="56"/>
      <c r="E151" s="6" t="str">
        <f>TEXT(Table3[[#This Row],[Date]],"mmm-yy")</f>
        <v>Aug-25</v>
      </c>
      <c r="F151" s="56">
        <f>DAY(EOMONTH(Table3[[#This Row],[Month Year]],0))</f>
        <v>31</v>
      </c>
      <c r="G151" s="58">
        <f t="shared" si="20"/>
        <v>45892</v>
      </c>
      <c r="H151" s="248">
        <f>'Modelling New'!$AR$1</f>
        <v>8.0208999999999993</v>
      </c>
      <c r="I151" s="88"/>
      <c r="J151" s="8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9"/>
      <c r="X151" s="80"/>
      <c r="Y151" s="81"/>
      <c r="Z151" s="59"/>
      <c r="AA151" s="59"/>
      <c r="AB151" s="56"/>
      <c r="AC151" s="77"/>
      <c r="AD151" s="78"/>
      <c r="AE151" s="77"/>
      <c r="AF151" s="77"/>
      <c r="AG151" s="77"/>
      <c r="AH151" s="56"/>
      <c r="AI151" s="16">
        <f>SUM(Table3[[#This Row],[Inv1]:[Inv3]])</f>
        <v>0</v>
      </c>
      <c r="AJ151" s="16">
        <f>IF((Table3[[#This Row],[33 kV Outgoinng Export Reading]]-Z150)*1000&gt;0,(Table3[[#This Row],[33 kV Outgoinng Export Reading]]-Z150)*1000,0)</f>
        <v>0</v>
      </c>
      <c r="AK151" s="16"/>
      <c r="AL151" s="6">
        <f>Table3[[#This Row],[Export  (kWh)]]-Table3[[#This Row],[Import (kWh)]]</f>
        <v>0</v>
      </c>
      <c r="AM151" s="67">
        <f t="shared" si="19"/>
        <v>0</v>
      </c>
      <c r="AN151" s="67"/>
    </row>
    <row r="152" spans="1:40" x14ac:dyDescent="0.3">
      <c r="A152" s="171">
        <f>YEAR(Table3[[#This Row],[Date]])+IF(MONTH(Table3[[#This Row],[Date]])&gt;=4,1,0)</f>
        <v>2026</v>
      </c>
      <c r="B152" s="56">
        <f>YEAR(Table3[[#This Row],[Date]])</f>
        <v>2025</v>
      </c>
      <c r="C152" s="56"/>
      <c r="D152" s="56"/>
      <c r="E152" s="6" t="str">
        <f>TEXT(Table3[[#This Row],[Date]],"mmm-yy")</f>
        <v>Aug-25</v>
      </c>
      <c r="F152" s="56">
        <f>DAY(EOMONTH(Table3[[#This Row],[Month Year]],0))</f>
        <v>31</v>
      </c>
      <c r="G152" s="58">
        <f t="shared" si="20"/>
        <v>45893</v>
      </c>
      <c r="H152" s="248">
        <f>'Modelling New'!$AR$1</f>
        <v>8.0208999999999993</v>
      </c>
      <c r="I152" s="88"/>
      <c r="J152" s="88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9"/>
      <c r="X152" s="80"/>
      <c r="Y152" s="81"/>
      <c r="Z152" s="59"/>
      <c r="AA152" s="59"/>
      <c r="AB152" s="56"/>
      <c r="AC152" s="77"/>
      <c r="AD152" s="78"/>
      <c r="AE152" s="77"/>
      <c r="AF152" s="77"/>
      <c r="AG152" s="77"/>
      <c r="AH152" s="56"/>
      <c r="AI152" s="16">
        <f>SUM(Table3[[#This Row],[Inv1]:[Inv3]])</f>
        <v>0</v>
      </c>
      <c r="AJ152" s="16">
        <f>IF((Table3[[#This Row],[33 kV Outgoinng Export Reading]]-Z151)*1000&gt;0,(Table3[[#This Row],[33 kV Outgoinng Export Reading]]-Z151)*1000,0)</f>
        <v>0</v>
      </c>
      <c r="AK152" s="16"/>
      <c r="AL152" s="6">
        <f>Table3[[#This Row],[Export  (kWh)]]-Table3[[#This Row],[Import (kWh)]]</f>
        <v>0</v>
      </c>
      <c r="AM152" s="67">
        <f t="shared" si="19"/>
        <v>0</v>
      </c>
      <c r="AN152" s="67"/>
    </row>
    <row r="153" spans="1:40" x14ac:dyDescent="0.3">
      <c r="A153" s="171">
        <f>YEAR(Table3[[#This Row],[Date]])+IF(MONTH(Table3[[#This Row],[Date]])&gt;=4,1,0)</f>
        <v>2026</v>
      </c>
      <c r="B153" s="56">
        <f>YEAR(Table3[[#This Row],[Date]])</f>
        <v>2025</v>
      </c>
      <c r="C153" s="56"/>
      <c r="D153" s="56"/>
      <c r="E153" s="6" t="str">
        <f>TEXT(Table3[[#This Row],[Date]],"mmm-yy")</f>
        <v>Aug-25</v>
      </c>
      <c r="F153" s="56">
        <f>DAY(EOMONTH(Table3[[#This Row],[Month Year]],0))</f>
        <v>31</v>
      </c>
      <c r="G153" s="58">
        <f t="shared" si="20"/>
        <v>45894</v>
      </c>
      <c r="H153" s="248">
        <f>'Modelling New'!$AR$1</f>
        <v>8.0208999999999993</v>
      </c>
      <c r="I153" s="88"/>
      <c r="J153" s="88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9"/>
      <c r="X153" s="80"/>
      <c r="Y153" s="81"/>
      <c r="Z153" s="59"/>
      <c r="AA153" s="59"/>
      <c r="AB153" s="56"/>
      <c r="AC153" s="77"/>
      <c r="AD153" s="78"/>
      <c r="AE153" s="77"/>
      <c r="AF153" s="77"/>
      <c r="AG153" s="77"/>
      <c r="AH153" s="56"/>
      <c r="AI153" s="16">
        <f>SUM(Table3[[#This Row],[Inv1]:[Inv3]])</f>
        <v>0</v>
      </c>
      <c r="AJ153" s="16">
        <f>IF((Table3[[#This Row],[33 kV Outgoinng Export Reading]]-Z152)*1000&gt;0,(Table3[[#This Row],[33 kV Outgoinng Export Reading]]-Z152)*1000,0)</f>
        <v>0</v>
      </c>
      <c r="AK153" s="16"/>
      <c r="AL153" s="6">
        <f>Table3[[#This Row],[Export  (kWh)]]-Table3[[#This Row],[Import (kWh)]]</f>
        <v>0</v>
      </c>
      <c r="AM153" s="67">
        <f t="shared" si="19"/>
        <v>0</v>
      </c>
      <c r="AN153" s="67"/>
    </row>
    <row r="154" spans="1:40" x14ac:dyDescent="0.3">
      <c r="A154" s="171">
        <f>YEAR(Table3[[#This Row],[Date]])+IF(MONTH(Table3[[#This Row],[Date]])&gt;=4,1,0)</f>
        <v>2026</v>
      </c>
      <c r="B154" s="56">
        <f>YEAR(Table3[[#This Row],[Date]])</f>
        <v>2025</v>
      </c>
      <c r="C154" s="56"/>
      <c r="D154" s="56"/>
      <c r="E154" s="6" t="str">
        <f>TEXT(Table3[[#This Row],[Date]],"mmm-yy")</f>
        <v>Aug-25</v>
      </c>
      <c r="F154" s="56">
        <f>DAY(EOMONTH(Table3[[#This Row],[Month Year]],0))</f>
        <v>31</v>
      </c>
      <c r="G154" s="58">
        <f t="shared" si="20"/>
        <v>45895</v>
      </c>
      <c r="H154" s="248">
        <f>'Modelling New'!$AR$1</f>
        <v>8.0208999999999993</v>
      </c>
      <c r="I154" s="88"/>
      <c r="J154" s="88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9"/>
      <c r="X154" s="80"/>
      <c r="Y154" s="81"/>
      <c r="Z154" s="59"/>
      <c r="AA154" s="59"/>
      <c r="AB154" s="56"/>
      <c r="AC154" s="77"/>
      <c r="AD154" s="78"/>
      <c r="AE154" s="77"/>
      <c r="AF154" s="77"/>
      <c r="AG154" s="77"/>
      <c r="AH154" s="56"/>
      <c r="AI154" s="16">
        <f>SUM(Table3[[#This Row],[Inv1]:[Inv3]])</f>
        <v>0</v>
      </c>
      <c r="AJ154" s="16">
        <f>IF((Table3[[#This Row],[33 kV Outgoinng Export Reading]]-Z153)*1000&gt;0,(Table3[[#This Row],[33 kV Outgoinng Export Reading]]-Z153)*1000,0)</f>
        <v>0</v>
      </c>
      <c r="AK154" s="16"/>
      <c r="AL154" s="6">
        <f>Table3[[#This Row],[Export  (kWh)]]-Table3[[#This Row],[Import (kWh)]]</f>
        <v>0</v>
      </c>
      <c r="AM154" s="67">
        <f t="shared" si="19"/>
        <v>0</v>
      </c>
      <c r="AN154" s="67"/>
    </row>
    <row r="155" spans="1:40" x14ac:dyDescent="0.3">
      <c r="A155" s="171">
        <f>YEAR(Table3[[#This Row],[Date]])+IF(MONTH(Table3[[#This Row],[Date]])&gt;=4,1,0)</f>
        <v>2026</v>
      </c>
      <c r="B155" s="56">
        <f>YEAR(Table3[[#This Row],[Date]])</f>
        <v>2025</v>
      </c>
      <c r="C155" s="56"/>
      <c r="D155" s="56"/>
      <c r="E155" s="6" t="str">
        <f>TEXT(Table3[[#This Row],[Date]],"mmm-yy")</f>
        <v>Aug-25</v>
      </c>
      <c r="F155" s="56">
        <f>DAY(EOMONTH(Table3[[#This Row],[Month Year]],0))</f>
        <v>31</v>
      </c>
      <c r="G155" s="58">
        <f t="shared" si="20"/>
        <v>45896</v>
      </c>
      <c r="H155" s="248">
        <f>'Modelling New'!$AR$1</f>
        <v>8.0208999999999993</v>
      </c>
      <c r="I155" s="88"/>
      <c r="J155" s="88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9"/>
      <c r="X155" s="80"/>
      <c r="Y155" s="81"/>
      <c r="Z155" s="59"/>
      <c r="AA155" s="59"/>
      <c r="AB155" s="56"/>
      <c r="AC155" s="77"/>
      <c r="AD155" s="78"/>
      <c r="AE155" s="77"/>
      <c r="AF155" s="77"/>
      <c r="AG155" s="77"/>
      <c r="AH155" s="56"/>
      <c r="AI155" s="16">
        <f>SUM(Table3[[#This Row],[Inv1]:[Inv3]])</f>
        <v>0</v>
      </c>
      <c r="AJ155" s="16">
        <f>IF((Table3[[#This Row],[33 kV Outgoinng Export Reading]]-Z154)*1000&gt;0,(Table3[[#This Row],[33 kV Outgoinng Export Reading]]-Z154)*1000,0)</f>
        <v>0</v>
      </c>
      <c r="AK155" s="16"/>
      <c r="AL155" s="6">
        <f>Table3[[#This Row],[Export  (kWh)]]-Table3[[#This Row],[Import (kWh)]]</f>
        <v>0</v>
      </c>
      <c r="AM155" s="67">
        <f t="shared" si="19"/>
        <v>0</v>
      </c>
      <c r="AN155" s="67"/>
    </row>
    <row r="156" spans="1:40" x14ac:dyDescent="0.3">
      <c r="A156" s="171">
        <f>YEAR(Table3[[#This Row],[Date]])+IF(MONTH(Table3[[#This Row],[Date]])&gt;=4,1,0)</f>
        <v>2026</v>
      </c>
      <c r="B156" s="56">
        <f>YEAR(Table3[[#This Row],[Date]])</f>
        <v>2025</v>
      </c>
      <c r="C156" s="56"/>
      <c r="D156" s="56"/>
      <c r="E156" s="6" t="str">
        <f>TEXT(Table3[[#This Row],[Date]],"mmm-yy")</f>
        <v>Aug-25</v>
      </c>
      <c r="F156" s="56">
        <f>DAY(EOMONTH(Table3[[#This Row],[Month Year]],0))</f>
        <v>31</v>
      </c>
      <c r="G156" s="58">
        <f t="shared" si="20"/>
        <v>45897</v>
      </c>
      <c r="H156" s="248">
        <f>'Modelling New'!$AR$1</f>
        <v>8.0208999999999993</v>
      </c>
      <c r="I156" s="88"/>
      <c r="J156" s="88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9"/>
      <c r="X156" s="80"/>
      <c r="Y156" s="81"/>
      <c r="Z156" s="59"/>
      <c r="AA156" s="59"/>
      <c r="AB156" s="56"/>
      <c r="AC156" s="77"/>
      <c r="AD156" s="78"/>
      <c r="AE156" s="77"/>
      <c r="AF156" s="77"/>
      <c r="AG156" s="77"/>
      <c r="AH156" s="56"/>
      <c r="AI156" s="16">
        <f>SUM(Table3[[#This Row],[Inv1]:[Inv3]])</f>
        <v>0</v>
      </c>
      <c r="AJ156" s="16">
        <f>IF((Table3[[#This Row],[33 kV Outgoinng Export Reading]]-Z155)*1000&gt;0,(Table3[[#This Row],[33 kV Outgoinng Export Reading]]-Z155)*1000,0)</f>
        <v>0</v>
      </c>
      <c r="AK156" s="16"/>
      <c r="AL156" s="6">
        <f>Table3[[#This Row],[Export  (kWh)]]-Table3[[#This Row],[Import (kWh)]]</f>
        <v>0</v>
      </c>
      <c r="AM156" s="67">
        <f t="shared" si="19"/>
        <v>0</v>
      </c>
      <c r="AN156" s="67"/>
    </row>
    <row r="157" spans="1:40" x14ac:dyDescent="0.3">
      <c r="A157" s="171">
        <f>YEAR(Table3[[#This Row],[Date]])+IF(MONTH(Table3[[#This Row],[Date]])&gt;=4,1,0)</f>
        <v>2026</v>
      </c>
      <c r="B157" s="56">
        <f>YEAR(Table3[[#This Row],[Date]])</f>
        <v>2025</v>
      </c>
      <c r="C157" s="56"/>
      <c r="D157" s="56"/>
      <c r="E157" s="6" t="str">
        <f>TEXT(Table3[[#This Row],[Date]],"mmm-yy")</f>
        <v>Aug-25</v>
      </c>
      <c r="F157" s="56">
        <f>DAY(EOMONTH(Table3[[#This Row],[Month Year]],0))</f>
        <v>31</v>
      </c>
      <c r="G157" s="58">
        <f t="shared" si="20"/>
        <v>45898</v>
      </c>
      <c r="H157" s="248">
        <f>'Modelling New'!$AR$1</f>
        <v>8.0208999999999993</v>
      </c>
      <c r="I157" s="88"/>
      <c r="J157" s="88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9"/>
      <c r="X157" s="80"/>
      <c r="Y157" s="81"/>
      <c r="Z157" s="59"/>
      <c r="AA157" s="59"/>
      <c r="AB157" s="56"/>
      <c r="AC157" s="77"/>
      <c r="AD157" s="78"/>
      <c r="AE157" s="77"/>
      <c r="AF157" s="77"/>
      <c r="AG157" s="77"/>
      <c r="AH157" s="56"/>
      <c r="AI157" s="16">
        <f>SUM(Table3[[#This Row],[Inv1]:[Inv3]])</f>
        <v>0</v>
      </c>
      <c r="AJ157" s="16">
        <f>IF((Table3[[#This Row],[33 kV Outgoinng Export Reading]]-Z156)*1000&gt;0,(Table3[[#This Row],[33 kV Outgoinng Export Reading]]-Z156)*1000,0)</f>
        <v>0</v>
      </c>
      <c r="AK157" s="16"/>
      <c r="AL157" s="6">
        <f>Table3[[#This Row],[Export  (kWh)]]-Table3[[#This Row],[Import (kWh)]]</f>
        <v>0</v>
      </c>
      <c r="AM157" s="67">
        <f t="shared" si="19"/>
        <v>0</v>
      </c>
      <c r="AN157" s="67"/>
    </row>
    <row r="158" spans="1:40" x14ac:dyDescent="0.3">
      <c r="A158" s="171">
        <f>YEAR(Table3[[#This Row],[Date]])+IF(MONTH(Table3[[#This Row],[Date]])&gt;=4,1,0)</f>
        <v>2026</v>
      </c>
      <c r="B158" s="56">
        <f>YEAR(Table3[[#This Row],[Date]])</f>
        <v>2025</v>
      </c>
      <c r="C158" s="56"/>
      <c r="D158" s="56"/>
      <c r="E158" s="6" t="str">
        <f>TEXT(Table3[[#This Row],[Date]],"mmm-yy")</f>
        <v>Aug-25</v>
      </c>
      <c r="F158" s="56">
        <f>DAY(EOMONTH(Table3[[#This Row],[Month Year]],0))</f>
        <v>31</v>
      </c>
      <c r="G158" s="58">
        <f t="shared" si="20"/>
        <v>45899</v>
      </c>
      <c r="H158" s="248">
        <f>'Modelling New'!$AR$1</f>
        <v>8.0208999999999993</v>
      </c>
      <c r="I158" s="88"/>
      <c r="J158" s="88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9"/>
      <c r="X158" s="80"/>
      <c r="Y158" s="81"/>
      <c r="Z158" s="59"/>
      <c r="AA158" s="59"/>
      <c r="AB158" s="56"/>
      <c r="AC158" s="77"/>
      <c r="AD158" s="78"/>
      <c r="AE158" s="77"/>
      <c r="AF158" s="77"/>
      <c r="AG158" s="77"/>
      <c r="AH158" s="56"/>
      <c r="AI158" s="16">
        <f>SUM(Table3[[#This Row],[Inv1]:[Inv3]])</f>
        <v>0</v>
      </c>
      <c r="AJ158" s="16">
        <f>IF((Table3[[#This Row],[33 kV Outgoinng Export Reading]]-Z157)*1000&gt;0,(Table3[[#This Row],[33 kV Outgoinng Export Reading]]-Z157)*1000,0)</f>
        <v>0</v>
      </c>
      <c r="AK158" s="16"/>
      <c r="AL158" s="6">
        <f>Table3[[#This Row],[Export  (kWh)]]-Table3[[#This Row],[Import (kWh)]]</f>
        <v>0</v>
      </c>
      <c r="AM158" s="67">
        <f t="shared" si="19"/>
        <v>0</v>
      </c>
      <c r="AN158" s="67"/>
    </row>
    <row r="159" spans="1:40" x14ac:dyDescent="0.3">
      <c r="A159" s="171">
        <f>YEAR(Table3[[#This Row],[Date]])+IF(MONTH(Table3[[#This Row],[Date]])&gt;=4,1,0)</f>
        <v>2026</v>
      </c>
      <c r="B159" s="56">
        <f>YEAR(Table3[[#This Row],[Date]])</f>
        <v>2025</v>
      </c>
      <c r="C159" s="56"/>
      <c r="D159" s="56"/>
      <c r="E159" s="6" t="str">
        <f>TEXT(Table3[[#This Row],[Date]],"mmm-yy")</f>
        <v>Aug-25</v>
      </c>
      <c r="F159" s="56">
        <f>DAY(EOMONTH(Table3[[#This Row],[Month Year]],0))</f>
        <v>31</v>
      </c>
      <c r="G159" s="58">
        <f t="shared" si="20"/>
        <v>45900</v>
      </c>
      <c r="H159" s="248">
        <f>'Modelling New'!$AR$1</f>
        <v>8.0208999999999993</v>
      </c>
      <c r="I159" s="88"/>
      <c r="J159" s="88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9"/>
      <c r="X159" s="80"/>
      <c r="Y159" s="81"/>
      <c r="Z159" s="59"/>
      <c r="AA159" s="59"/>
      <c r="AB159" s="56"/>
      <c r="AC159" s="77"/>
      <c r="AD159" s="78"/>
      <c r="AE159" s="77"/>
      <c r="AF159" s="77"/>
      <c r="AG159" s="77"/>
      <c r="AH159" s="56"/>
      <c r="AI159" s="16">
        <f>SUM(Table3[[#This Row],[Inv1]:[Inv3]])</f>
        <v>0</v>
      </c>
      <c r="AJ159" s="16">
        <f>IF((Table3[[#This Row],[33 kV Outgoinng Export Reading]]-Z158)*1000&gt;0,(Table3[[#This Row],[33 kV Outgoinng Export Reading]]-Z158)*1000,0)</f>
        <v>0</v>
      </c>
      <c r="AK159" s="16"/>
      <c r="AL159" s="6">
        <f>Table3[[#This Row],[Export  (kWh)]]-Table3[[#This Row],[Import (kWh)]]</f>
        <v>0</v>
      </c>
      <c r="AM159" s="67">
        <f t="shared" si="19"/>
        <v>0</v>
      </c>
      <c r="AN159" s="67"/>
    </row>
    <row r="160" spans="1:40" x14ac:dyDescent="0.3">
      <c r="A160" s="171">
        <f>YEAR(Table3[[#This Row],[Date]])+IF(MONTH(Table3[[#This Row],[Date]])&gt;=4,1,0)</f>
        <v>2026</v>
      </c>
      <c r="B160" s="56">
        <f>YEAR(Table3[[#This Row],[Date]])</f>
        <v>2025</v>
      </c>
      <c r="C160" s="56"/>
      <c r="D160" s="56"/>
      <c r="E160" s="6" t="str">
        <f>TEXT(Table3[[#This Row],[Date]],"mmm-yy")</f>
        <v>Sep-25</v>
      </c>
      <c r="F160" s="56">
        <f>DAY(EOMONTH(Table3[[#This Row],[Month Year]],0))</f>
        <v>30</v>
      </c>
      <c r="G160" s="58">
        <f t="shared" si="20"/>
        <v>45901</v>
      </c>
      <c r="H160" s="248">
        <f>'Modelling New'!$AR$1</f>
        <v>8.0208999999999993</v>
      </c>
      <c r="I160" s="88"/>
      <c r="J160" s="88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9"/>
      <c r="X160" s="80"/>
      <c r="Y160" s="81"/>
      <c r="Z160" s="59"/>
      <c r="AA160" s="59"/>
      <c r="AB160" s="56"/>
      <c r="AC160" s="77"/>
      <c r="AD160" s="78"/>
      <c r="AE160" s="77"/>
      <c r="AF160" s="77"/>
      <c r="AG160" s="77"/>
      <c r="AH160" s="56"/>
      <c r="AI160" s="16">
        <f>SUM(Table3[[#This Row],[Inv1]:[Inv3]])</f>
        <v>0</v>
      </c>
      <c r="AJ160" s="16">
        <f>IF((Table3[[#This Row],[33 kV Outgoinng Export Reading]]-Z159)*1000&gt;0,(Table3[[#This Row],[33 kV Outgoinng Export Reading]]-Z159)*1000,0)</f>
        <v>0</v>
      </c>
      <c r="AK160" s="16"/>
      <c r="AL160" s="6">
        <f>Table3[[#This Row],[Export  (kWh)]]-Table3[[#This Row],[Import (kWh)]]</f>
        <v>0</v>
      </c>
      <c r="AM160" s="67">
        <f t="shared" si="19"/>
        <v>0</v>
      </c>
      <c r="AN160" s="67"/>
    </row>
    <row r="161" spans="1:40" x14ac:dyDescent="0.3">
      <c r="A161" s="171">
        <f>YEAR(Table3[[#This Row],[Date]])+IF(MONTH(Table3[[#This Row],[Date]])&gt;=4,1,0)</f>
        <v>2026</v>
      </c>
      <c r="B161" s="56">
        <f>YEAR(Table3[[#This Row],[Date]])</f>
        <v>2025</v>
      </c>
      <c r="C161" s="56"/>
      <c r="D161" s="56"/>
      <c r="E161" s="6" t="str">
        <f>TEXT(Table3[[#This Row],[Date]],"mmm-yy")</f>
        <v>Sep-25</v>
      </c>
      <c r="F161" s="56">
        <f>DAY(EOMONTH(Table3[[#This Row],[Month Year]],0))</f>
        <v>30</v>
      </c>
      <c r="G161" s="58">
        <f t="shared" si="20"/>
        <v>45902</v>
      </c>
      <c r="H161" s="248">
        <f>'Modelling New'!$AR$1</f>
        <v>8.0208999999999993</v>
      </c>
      <c r="I161" s="88"/>
      <c r="J161" s="88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9"/>
      <c r="X161" s="80"/>
      <c r="Y161" s="81"/>
      <c r="Z161" s="59"/>
      <c r="AA161" s="59"/>
      <c r="AB161" s="56"/>
      <c r="AC161" s="77"/>
      <c r="AD161" s="78"/>
      <c r="AE161" s="77"/>
      <c r="AF161" s="77"/>
      <c r="AG161" s="77"/>
      <c r="AH161" s="56"/>
      <c r="AI161" s="16">
        <f>SUM(Table3[[#This Row],[Inv1]:[Inv3]])</f>
        <v>0</v>
      </c>
      <c r="AJ161" s="16">
        <f>IF((Table3[[#This Row],[33 kV Outgoinng Export Reading]]-Z160)*1000&gt;0,(Table3[[#This Row],[33 kV Outgoinng Export Reading]]-Z160)*1000,0)</f>
        <v>0</v>
      </c>
      <c r="AK161" s="16"/>
      <c r="AL161" s="6">
        <f>Table3[[#This Row],[Export  (kWh)]]-Table3[[#This Row],[Import (kWh)]]</f>
        <v>0</v>
      </c>
      <c r="AM161" s="67">
        <f t="shared" si="19"/>
        <v>0</v>
      </c>
      <c r="AN161" s="67"/>
    </row>
    <row r="162" spans="1:40" x14ac:dyDescent="0.3">
      <c r="A162" s="171">
        <f>YEAR(Table3[[#This Row],[Date]])+IF(MONTH(Table3[[#This Row],[Date]])&gt;=4,1,0)</f>
        <v>2026</v>
      </c>
      <c r="B162" s="56">
        <f>YEAR(Table3[[#This Row],[Date]])</f>
        <v>2025</v>
      </c>
      <c r="C162" s="56"/>
      <c r="D162" s="56"/>
      <c r="E162" s="6" t="str">
        <f>TEXT(Table3[[#This Row],[Date]],"mmm-yy")</f>
        <v>Sep-25</v>
      </c>
      <c r="F162" s="56">
        <f>DAY(EOMONTH(Table3[[#This Row],[Month Year]],0))</f>
        <v>30</v>
      </c>
      <c r="G162" s="58">
        <f t="shared" si="20"/>
        <v>45903</v>
      </c>
      <c r="H162" s="248">
        <f>'Modelling New'!$AR$1</f>
        <v>8.0208999999999993</v>
      </c>
      <c r="I162" s="88"/>
      <c r="J162" s="88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9"/>
      <c r="X162" s="80"/>
      <c r="Y162" s="81"/>
      <c r="Z162" s="59"/>
      <c r="AA162" s="59"/>
      <c r="AB162" s="56"/>
      <c r="AC162" s="77"/>
      <c r="AD162" s="78"/>
      <c r="AE162" s="77"/>
      <c r="AF162" s="77"/>
      <c r="AG162" s="77"/>
      <c r="AH162" s="56"/>
      <c r="AI162" s="16">
        <f>SUM(Table3[[#This Row],[Inv1]:[Inv3]])</f>
        <v>0</v>
      </c>
      <c r="AJ162" s="16">
        <f>IF((Table3[[#This Row],[33 kV Outgoinng Export Reading]]-Z161)*1000&gt;0,(Table3[[#This Row],[33 kV Outgoinng Export Reading]]-Z161)*1000,0)</f>
        <v>0</v>
      </c>
      <c r="AK162" s="16"/>
      <c r="AL162" s="6">
        <f>Table3[[#This Row],[Export  (kWh)]]-Table3[[#This Row],[Import (kWh)]]</f>
        <v>0</v>
      </c>
      <c r="AM162" s="67">
        <f t="shared" si="19"/>
        <v>0</v>
      </c>
      <c r="AN162" s="67"/>
    </row>
    <row r="163" spans="1:40" x14ac:dyDescent="0.3">
      <c r="A163" s="171">
        <f>YEAR(Table3[[#This Row],[Date]])+IF(MONTH(Table3[[#This Row],[Date]])&gt;=4,1,0)</f>
        <v>2026</v>
      </c>
      <c r="B163" s="56">
        <f>YEAR(Table3[[#This Row],[Date]])</f>
        <v>2025</v>
      </c>
      <c r="C163" s="56"/>
      <c r="D163" s="56"/>
      <c r="E163" s="6" t="str">
        <f>TEXT(Table3[[#This Row],[Date]],"mmm-yy")</f>
        <v>Sep-25</v>
      </c>
      <c r="F163" s="56">
        <f>DAY(EOMONTH(Table3[[#This Row],[Month Year]],0))</f>
        <v>30</v>
      </c>
      <c r="G163" s="58">
        <f t="shared" si="20"/>
        <v>45904</v>
      </c>
      <c r="H163" s="248">
        <f>'Modelling New'!$AR$1</f>
        <v>8.0208999999999993</v>
      </c>
      <c r="I163" s="88"/>
      <c r="J163" s="88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9"/>
      <c r="X163" s="80"/>
      <c r="Y163" s="81"/>
      <c r="Z163" s="59"/>
      <c r="AA163" s="59"/>
      <c r="AB163" s="56"/>
      <c r="AC163" s="77"/>
      <c r="AD163" s="78"/>
      <c r="AE163" s="77"/>
      <c r="AF163" s="77"/>
      <c r="AG163" s="77"/>
      <c r="AH163" s="56"/>
      <c r="AI163" s="16">
        <f>SUM(Table3[[#This Row],[Inv1]:[Inv3]])</f>
        <v>0</v>
      </c>
      <c r="AJ163" s="16">
        <f>IF((Table3[[#This Row],[33 kV Outgoinng Export Reading]]-Z162)*1000&gt;0,(Table3[[#This Row],[33 kV Outgoinng Export Reading]]-Z162)*1000,0)</f>
        <v>0</v>
      </c>
      <c r="AK163" s="16"/>
      <c r="AL163" s="6">
        <f>Table3[[#This Row],[Export  (kWh)]]-Table3[[#This Row],[Import (kWh)]]</f>
        <v>0</v>
      </c>
      <c r="AM163" s="67">
        <f t="shared" si="19"/>
        <v>0</v>
      </c>
      <c r="AN163" s="67"/>
    </row>
    <row r="164" spans="1:40" x14ac:dyDescent="0.3">
      <c r="A164" s="171">
        <f>YEAR(Table3[[#This Row],[Date]])+IF(MONTH(Table3[[#This Row],[Date]])&gt;=4,1,0)</f>
        <v>2026</v>
      </c>
      <c r="B164" s="56">
        <f>YEAR(Table3[[#This Row],[Date]])</f>
        <v>2025</v>
      </c>
      <c r="C164" s="56"/>
      <c r="D164" s="56"/>
      <c r="E164" s="6" t="str">
        <f>TEXT(Table3[[#This Row],[Date]],"mmm-yy")</f>
        <v>Sep-25</v>
      </c>
      <c r="F164" s="56">
        <f>DAY(EOMONTH(Table3[[#This Row],[Month Year]],0))</f>
        <v>30</v>
      </c>
      <c r="G164" s="58">
        <f t="shared" si="20"/>
        <v>45905</v>
      </c>
      <c r="H164" s="248">
        <f>'Modelling New'!$AR$1</f>
        <v>8.0208999999999993</v>
      </c>
      <c r="I164" s="88"/>
      <c r="J164" s="88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9"/>
      <c r="X164" s="80"/>
      <c r="Y164" s="81"/>
      <c r="Z164" s="59"/>
      <c r="AA164" s="59"/>
      <c r="AB164" s="56"/>
      <c r="AC164" s="77"/>
      <c r="AD164" s="78"/>
      <c r="AE164" s="77"/>
      <c r="AF164" s="77"/>
      <c r="AG164" s="77"/>
      <c r="AH164" s="56"/>
      <c r="AI164" s="16">
        <f>SUM(Table3[[#This Row],[Inv1]:[Inv3]])</f>
        <v>0</v>
      </c>
      <c r="AJ164" s="16">
        <f>IF((Table3[[#This Row],[33 kV Outgoinng Export Reading]]-Z163)*1000&gt;0,(Table3[[#This Row],[33 kV Outgoinng Export Reading]]-Z163)*1000,0)</f>
        <v>0</v>
      </c>
      <c r="AK164" s="16"/>
      <c r="AL164" s="6">
        <f>Table3[[#This Row],[Export  (kWh)]]-Table3[[#This Row],[Import (kWh)]]</f>
        <v>0</v>
      </c>
      <c r="AM164" s="67">
        <f t="shared" si="19"/>
        <v>0</v>
      </c>
      <c r="AN164" s="67"/>
    </row>
    <row r="165" spans="1:40" x14ac:dyDescent="0.3">
      <c r="A165" s="171">
        <f>YEAR(Table3[[#This Row],[Date]])+IF(MONTH(Table3[[#This Row],[Date]])&gt;=4,1,0)</f>
        <v>2026</v>
      </c>
      <c r="B165" s="56">
        <f>YEAR(Table3[[#This Row],[Date]])</f>
        <v>2025</v>
      </c>
      <c r="C165" s="56"/>
      <c r="D165" s="56"/>
      <c r="E165" s="6" t="str">
        <f>TEXT(Table3[[#This Row],[Date]],"mmm-yy")</f>
        <v>Sep-25</v>
      </c>
      <c r="F165" s="56">
        <f>DAY(EOMONTH(Table3[[#This Row],[Month Year]],0))</f>
        <v>30</v>
      </c>
      <c r="G165" s="58">
        <f t="shared" si="20"/>
        <v>45906</v>
      </c>
      <c r="H165" s="248">
        <f>'Modelling New'!$AR$1</f>
        <v>8.0208999999999993</v>
      </c>
      <c r="I165" s="88"/>
      <c r="J165" s="88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9"/>
      <c r="X165" s="80"/>
      <c r="Y165" s="81"/>
      <c r="Z165" s="59"/>
      <c r="AA165" s="59"/>
      <c r="AB165" s="56"/>
      <c r="AC165" s="77"/>
      <c r="AD165" s="78"/>
      <c r="AE165" s="77"/>
      <c r="AF165" s="77"/>
      <c r="AG165" s="77"/>
      <c r="AH165" s="56"/>
      <c r="AI165" s="16">
        <f>SUM(Table3[[#This Row],[Inv1]:[Inv3]])</f>
        <v>0</v>
      </c>
      <c r="AJ165" s="16">
        <f>IF((Table3[[#This Row],[33 kV Outgoinng Export Reading]]-Z164)*1000&gt;0,(Table3[[#This Row],[33 kV Outgoinng Export Reading]]-Z164)*1000,0)</f>
        <v>0</v>
      </c>
      <c r="AK165" s="16"/>
      <c r="AL165" s="6">
        <f>Table3[[#This Row],[Export  (kWh)]]-Table3[[#This Row],[Import (kWh)]]</f>
        <v>0</v>
      </c>
      <c r="AM165" s="67">
        <f t="shared" si="19"/>
        <v>0</v>
      </c>
      <c r="AN165" s="67"/>
    </row>
    <row r="166" spans="1:40" x14ac:dyDescent="0.3"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9"/>
      <c r="X166" s="80"/>
      <c r="Y166" s="81"/>
      <c r="Z166" s="59"/>
      <c r="AA166" s="59"/>
      <c r="AB166" s="56"/>
      <c r="AC166" s="77"/>
      <c r="AD166" s="78"/>
      <c r="AE166" s="77"/>
      <c r="AF166" s="77"/>
      <c r="AG166" s="77"/>
      <c r="AH166" s="56"/>
      <c r="AI166" s="16"/>
      <c r="AJ166" s="16"/>
      <c r="AK166" s="16"/>
      <c r="AL166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8126-055C-4D61-A31D-ABF0C647A92E}">
  <sheetPr codeName="Sheet8"/>
  <dimension ref="A1:J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"/>
    </sheetView>
  </sheetViews>
  <sheetFormatPr defaultColWidth="8.77734375" defaultRowHeight="14.4" x14ac:dyDescent="0.3"/>
  <cols>
    <col min="1" max="2" width="10.77734375" style="7" customWidth="1"/>
    <col min="3" max="3" width="11.77734375" style="7" customWidth="1"/>
    <col min="4" max="4" width="12.21875" style="7" customWidth="1"/>
    <col min="5" max="5" width="19.21875" style="7" customWidth="1"/>
    <col min="6" max="6" width="11.21875" style="7" customWidth="1"/>
    <col min="7" max="7" width="21.44140625" style="7" customWidth="1"/>
    <col min="8" max="8" width="9.77734375" style="7" customWidth="1"/>
    <col min="9" max="9" width="27.21875" style="7" customWidth="1"/>
    <col min="10" max="16384" width="8.77734375" style="7"/>
  </cols>
  <sheetData>
    <row r="1" spans="1:10" ht="24" customHeight="1" x14ac:dyDescent="0.3">
      <c r="A1" s="172" t="s">
        <v>39</v>
      </c>
      <c r="B1" s="97" t="s">
        <v>1197</v>
      </c>
      <c r="C1" s="97" t="s">
        <v>1198</v>
      </c>
      <c r="D1" s="97" t="s">
        <v>80</v>
      </c>
      <c r="E1" s="97" t="s">
        <v>1199</v>
      </c>
      <c r="F1" s="97" t="s">
        <v>1200</v>
      </c>
      <c r="G1" s="97" t="s">
        <v>1201</v>
      </c>
      <c r="H1" s="97" t="s">
        <v>1044</v>
      </c>
      <c r="I1" s="97" t="s">
        <v>1202</v>
      </c>
      <c r="J1" s="97" t="s">
        <v>1203</v>
      </c>
    </row>
    <row r="2" spans="1:10" x14ac:dyDescent="0.3">
      <c r="A2" s="173">
        <v>45748</v>
      </c>
      <c r="B2" s="174"/>
      <c r="C2" s="174"/>
      <c r="D2" s="174"/>
      <c r="E2" s="174">
        <f>JMR[[#This Row],[Export (kWh)]]</f>
        <v>0</v>
      </c>
      <c r="F2" s="174"/>
      <c r="G2" s="174">
        <f>SUMIF('Daily KPI'!$D:$D,$A2,'Daily KPI'!$Y:$Y)-SUMIF('Daily KPI'!$D:$D,$A2,'Daily KPI'!$Z:$Z)</f>
        <v>1000999.9999999971</v>
      </c>
      <c r="H2" s="174">
        <f>IF(C2="",0,JMR[[#This Row],[Net Export (JMR) (kWh)]]-JMR[[#This Row],[Net Export (Manual) (kWh)]])</f>
        <v>0</v>
      </c>
      <c r="I2" s="175">
        <f>SUMIF('Daily KPI'!$D:$D,$A2,'Daily KPI'!$AA:$AA)</f>
        <v>1000999.9999999972</v>
      </c>
      <c r="J2" s="176">
        <f>IF(C2="",0,(JMR[[#This Row],[Difference]]/JMR[[#This Row],[Net Export (Manual) (kWh)]]))</f>
        <v>0</v>
      </c>
    </row>
    <row r="3" spans="1:10" x14ac:dyDescent="0.3">
      <c r="A3" s="173">
        <v>45778</v>
      </c>
      <c r="B3" s="174"/>
      <c r="C3" s="174"/>
      <c r="D3" s="174"/>
      <c r="E3" s="174">
        <f>JMR[[#This Row],[Export (kWh)]]</f>
        <v>0</v>
      </c>
      <c r="F3" s="174"/>
      <c r="G3" s="174">
        <f>SUMIF('Daily KPI'!$D:$D,$A3,'Daily KPI'!$Y:$Y)-SUMIF('Daily KPI'!$D:$D,$A3,'Daily KPI'!$Z:$Z)</f>
        <v>941050</v>
      </c>
      <c r="H3" s="174">
        <f>IF(C3="",0,JMR[[#This Row],[Net Export (JMR) (kWh)]]-JMR[[#This Row],[Net Export (Manual) (kWh)]])</f>
        <v>0</v>
      </c>
      <c r="I3" s="175">
        <f>SUMIF('Daily KPI'!$D:$D,$A3,'Daily KPI'!$AA:$AA)</f>
        <v>941050.00000000012</v>
      </c>
      <c r="J3" s="176">
        <f>IF(C3="",0,(JMR[[#This Row],[Difference]]/JMR[[#This Row],[Net Export (Manual) (kWh)]]))</f>
        <v>0</v>
      </c>
    </row>
    <row r="4" spans="1:10" x14ac:dyDescent="0.3">
      <c r="A4" s="177">
        <v>45809</v>
      </c>
      <c r="B4" s="178"/>
      <c r="C4" s="178"/>
      <c r="D4" s="178"/>
      <c r="E4" s="178">
        <f>JMR[[#This Row],[Export (kWh)]]</f>
        <v>0</v>
      </c>
      <c r="F4" s="178"/>
      <c r="G4" s="178">
        <f>SUMIF('Daily KPI'!$D:$D,$A4,'Daily KPI'!$Y:$Y)-SUMIF('Daily KPI'!$D:$D,$A4,'Daily KPI'!$Z:$Z)</f>
        <v>831399.99999999418</v>
      </c>
      <c r="H4" s="178">
        <f>IF(C4="",0,JMR[[#This Row],[Net Export (JMR) (kWh)]]-JMR[[#This Row],[Net Export (Manual) (kWh)]])</f>
        <v>0</v>
      </c>
      <c r="I4" s="179">
        <f>SUMIF('Daily KPI'!$D:$D,$A4,'Daily KPI'!$AA:$AA)</f>
        <v>831399.99999999441</v>
      </c>
      <c r="J4" s="180">
        <f>IF(C4="",0,(JMR[[#This Row],[Difference]]/JMR[[#This Row],[Net Export (Manual) (kWh)]]))</f>
        <v>0</v>
      </c>
    </row>
    <row r="5" spans="1:10" x14ac:dyDescent="0.3">
      <c r="A5" s="177">
        <v>45839</v>
      </c>
      <c r="E5" s="7">
        <f>JMR[[#This Row],[Export (kWh)]]</f>
        <v>0</v>
      </c>
      <c r="G5" s="7">
        <f>SUMIF('Daily KPI'!$D:$D,$A5,'Daily KPI'!$Y:$Y)-SUMIF('Daily KPI'!$D:$D,$A5,'Daily KPI'!$Z:$Z)</f>
        <v>751700.00000000291</v>
      </c>
      <c r="H5" s="7">
        <f>IF(C5="",0,JMR[[#This Row],[Net Export (JMR) (kWh)]]-JMR[[#This Row],[Net Export (Manual) (kWh)]])</f>
        <v>0</v>
      </c>
      <c r="I5" s="101">
        <f>SUMIF('Daily KPI'!$D:$D,$A5,'Daily KPI'!$AA:$AA)</f>
        <v>751700.00000000303</v>
      </c>
      <c r="J5" s="181">
        <f>IF(C5="",0,(JMR[[#This Row],[Difference]]/JMR[[#This Row],[Net Export (Manual) (kWh)]]))</f>
        <v>0</v>
      </c>
    </row>
    <row r="6" spans="1:10" x14ac:dyDescent="0.3">
      <c r="A6" s="177">
        <v>45870</v>
      </c>
      <c r="E6" s="7">
        <f>JMR[[#This Row],[Export (kWh)]]</f>
        <v>0</v>
      </c>
      <c r="G6" s="7">
        <f>SUMIF('Daily KPI'!$D:$D,$A6,'Daily KPI'!$Y:$Y)-SUMIF('Daily KPI'!$D:$D,$A6,'Daily KPI'!$Z:$Z)</f>
        <v>100849.99999999706</v>
      </c>
      <c r="H6" s="7">
        <f>IF(C6="",0,JMR[[#This Row],[Net Export (JMR) (kWh)]]-JMR[[#This Row],[Net Export (Manual) (kWh)]])</f>
        <v>0</v>
      </c>
      <c r="I6" s="101">
        <f>SUMIF('Daily KPI'!$D:$D,$A6,'Daily KPI'!$AA:$AA)</f>
        <v>100849.99999999706</v>
      </c>
      <c r="J6" s="181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137"/>
  <sheetViews>
    <sheetView topLeftCell="E2" zoomScaleNormal="100" workbookViewId="0">
      <pane xSplit="4" ySplit="2" topLeftCell="K116" activePane="bottomRight" state="frozen"/>
      <selection activeCell="E2" sqref="E2"/>
      <selection pane="topRight" activeCell="I2" sqref="I2"/>
      <selection pane="bottomLeft" activeCell="E4" sqref="E4"/>
      <selection pane="bottomRight" activeCell="S134" sqref="S134"/>
    </sheetView>
  </sheetViews>
  <sheetFormatPr defaultRowHeight="14.4" x14ac:dyDescent="0.3"/>
  <cols>
    <col min="1" max="2" width="11.21875" customWidth="1"/>
    <col min="4" max="4" width="14.21875" customWidth="1"/>
    <col min="5" max="5" width="13" customWidth="1"/>
    <col min="6" max="6" width="9" style="2" customWidth="1"/>
    <col min="8" max="8" width="11.77734375" customWidth="1"/>
    <col min="9" max="9" width="10.21875" style="2" bestFit="1" customWidth="1"/>
    <col min="10" max="21" width="10.21875" style="2" customWidth="1"/>
    <col min="22" max="24" width="10.21875" style="2" bestFit="1" customWidth="1"/>
    <col min="25" max="26" width="8.7773437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0" t="s">
        <v>51</v>
      </c>
      <c r="B3" s="20" t="s">
        <v>76</v>
      </c>
      <c r="C3" s="20" t="s">
        <v>52</v>
      </c>
      <c r="D3" s="20" t="s">
        <v>53</v>
      </c>
      <c r="E3" s="20" t="s">
        <v>56</v>
      </c>
      <c r="F3" s="2" t="s">
        <v>39</v>
      </c>
      <c r="G3" s="20" t="s">
        <v>54</v>
      </c>
      <c r="H3" s="21" t="s">
        <v>40</v>
      </c>
      <c r="I3" s="22" t="s">
        <v>55</v>
      </c>
      <c r="J3" s="15" t="s">
        <v>219</v>
      </c>
      <c r="K3" s="15" t="s">
        <v>220</v>
      </c>
      <c r="L3" s="15" t="s">
        <v>221</v>
      </c>
      <c r="M3" s="15" t="s">
        <v>222</v>
      </c>
      <c r="N3" s="15" t="s">
        <v>223</v>
      </c>
      <c r="O3" s="15" t="s">
        <v>224</v>
      </c>
      <c r="P3" s="15" t="s">
        <v>225</v>
      </c>
      <c r="Q3" s="15" t="s">
        <v>226</v>
      </c>
      <c r="R3" s="15" t="s">
        <v>228</v>
      </c>
      <c r="S3" s="15" t="s">
        <v>229</v>
      </c>
      <c r="T3" s="15" t="s">
        <v>230</v>
      </c>
      <c r="U3" s="15" t="s">
        <v>227</v>
      </c>
      <c r="V3" s="15" t="s">
        <v>168</v>
      </c>
      <c r="W3" s="15" t="s">
        <v>169</v>
      </c>
      <c r="X3" s="15" t="s">
        <v>170</v>
      </c>
      <c r="Y3" s="23" t="s">
        <v>77</v>
      </c>
      <c r="Z3" s="23" t="s">
        <v>78</v>
      </c>
    </row>
    <row r="4" spans="1:26" ht="15" thickTop="1" x14ac:dyDescent="0.3">
      <c r="A4" s="53" t="s">
        <v>98</v>
      </c>
      <c r="B4" s="53">
        <v>4</v>
      </c>
      <c r="C4" s="89">
        <f>YEAR(Table12[[#This Row],[Date]])</f>
        <v>2025</v>
      </c>
      <c r="D4" s="53" t="s">
        <v>317</v>
      </c>
      <c r="E4" s="53" t="s">
        <v>317</v>
      </c>
      <c r="F4" s="90" t="str">
        <f>TEXT(Table12[[#This Row],[Date]],"mmm-yy")</f>
        <v>Mar-25</v>
      </c>
      <c r="G4" s="89">
        <f t="shared" ref="G4:G34" si="0">DAY(EOMONTH(F4,0))</f>
        <v>31</v>
      </c>
      <c r="H4" s="91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3" t="s">
        <v>98</v>
      </c>
      <c r="B5" s="53">
        <v>4</v>
      </c>
      <c r="C5" s="89">
        <f>YEAR(Table12[[#This Row],[Date]])</f>
        <v>2025</v>
      </c>
      <c r="D5" s="53" t="s">
        <v>317</v>
      </c>
      <c r="E5" s="53" t="s">
        <v>317</v>
      </c>
      <c r="F5" s="90" t="str">
        <f>TEXT(Table12[[#This Row],[Date]],"mmm-yy")</f>
        <v>Mar-25</v>
      </c>
      <c r="G5" s="89">
        <f t="shared" si="0"/>
        <v>31</v>
      </c>
      <c r="H5" s="91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3" t="s">
        <v>98</v>
      </c>
      <c r="B6" s="53">
        <v>4</v>
      </c>
      <c r="C6" s="89">
        <f>YEAR(Table12[[#This Row],[Date]])</f>
        <v>2025</v>
      </c>
      <c r="D6" s="53" t="s">
        <v>317</v>
      </c>
      <c r="E6" s="53" t="s">
        <v>317</v>
      </c>
      <c r="F6" s="90" t="str">
        <f>TEXT(Table12[[#This Row],[Date]],"mmm-yy")</f>
        <v>Mar-25</v>
      </c>
      <c r="G6" s="89">
        <f t="shared" si="0"/>
        <v>31</v>
      </c>
      <c r="H6" s="91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3" t="s">
        <v>98</v>
      </c>
      <c r="B7" s="53">
        <v>4</v>
      </c>
      <c r="C7" s="89">
        <f>YEAR(Table12[[#This Row],[Date]])</f>
        <v>2025</v>
      </c>
      <c r="D7" s="53" t="s">
        <v>317</v>
      </c>
      <c r="E7" s="53" t="s">
        <v>317</v>
      </c>
      <c r="F7" s="90" t="str">
        <f>TEXT(Table12[[#This Row],[Date]],"mmm-yy")</f>
        <v>Apr-25</v>
      </c>
      <c r="G7" s="89">
        <f t="shared" si="0"/>
        <v>30</v>
      </c>
      <c r="H7" s="91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3" t="s">
        <v>98</v>
      </c>
      <c r="B8" s="53">
        <v>4</v>
      </c>
      <c r="C8" s="89">
        <f>YEAR(Table12[[#This Row],[Date]])</f>
        <v>2025</v>
      </c>
      <c r="D8" s="53" t="s">
        <v>317</v>
      </c>
      <c r="E8" s="53" t="s">
        <v>317</v>
      </c>
      <c r="F8" s="90" t="str">
        <f>TEXT(Table12[[#This Row],[Date]],"mmm-yy")</f>
        <v>Apr-25</v>
      </c>
      <c r="G8" s="89">
        <f t="shared" si="0"/>
        <v>30</v>
      </c>
      <c r="H8" s="91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3" t="s">
        <v>98</v>
      </c>
      <c r="B9" s="53">
        <v>4</v>
      </c>
      <c r="C9" s="89">
        <f>YEAR(Table12[[#This Row],[Date]])</f>
        <v>2025</v>
      </c>
      <c r="D9" s="53" t="s">
        <v>317</v>
      </c>
      <c r="E9" s="53" t="s">
        <v>317</v>
      </c>
      <c r="F9" s="90" t="str">
        <f>TEXT(Table12[[#This Row],[Date]],"mmm-yy")</f>
        <v>Apr-25</v>
      </c>
      <c r="G9" s="89">
        <f t="shared" si="0"/>
        <v>30</v>
      </c>
      <c r="H9" s="91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3" t="s">
        <v>98</v>
      </c>
      <c r="B10" s="53">
        <v>4</v>
      </c>
      <c r="C10" s="89">
        <f>YEAR(Table12[[#This Row],[Date]])</f>
        <v>2025</v>
      </c>
      <c r="D10" s="53" t="s">
        <v>317</v>
      </c>
      <c r="E10" s="53" t="s">
        <v>317</v>
      </c>
      <c r="F10" s="90" t="str">
        <f>TEXT(Table12[[#This Row],[Date]],"mmm-yy")</f>
        <v>Apr-25</v>
      </c>
      <c r="G10" s="89">
        <f t="shared" si="0"/>
        <v>30</v>
      </c>
      <c r="H10" s="91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3" t="s">
        <v>98</v>
      </c>
      <c r="B11" s="53">
        <v>4</v>
      </c>
      <c r="C11" s="89">
        <f>YEAR(Table12[[#This Row],[Date]])</f>
        <v>2025</v>
      </c>
      <c r="D11" s="53" t="s">
        <v>317</v>
      </c>
      <c r="E11" s="53" t="s">
        <v>317</v>
      </c>
      <c r="F11" s="90" t="str">
        <f>TEXT(Table12[[#This Row],[Date]],"mmm-yy")</f>
        <v>Apr-25</v>
      </c>
      <c r="G11" s="89">
        <f t="shared" si="0"/>
        <v>30</v>
      </c>
      <c r="H11" s="91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3" t="s">
        <v>98</v>
      </c>
      <c r="B12" s="53">
        <v>4</v>
      </c>
      <c r="C12" s="89">
        <f>YEAR(Table12[[#This Row],[Date]])</f>
        <v>2025</v>
      </c>
      <c r="D12" s="53" t="s">
        <v>317</v>
      </c>
      <c r="E12" s="53" t="s">
        <v>317</v>
      </c>
      <c r="F12" s="90" t="str">
        <f>TEXT(Table12[[#This Row],[Date]],"mmm-yy")</f>
        <v>Apr-25</v>
      </c>
      <c r="G12" s="89">
        <f t="shared" si="0"/>
        <v>30</v>
      </c>
      <c r="H12" s="91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3" t="s">
        <v>98</v>
      </c>
      <c r="B13" s="53">
        <v>4</v>
      </c>
      <c r="C13" s="89">
        <f>YEAR(Table12[[#This Row],[Date]])</f>
        <v>2025</v>
      </c>
      <c r="D13" s="53" t="s">
        <v>317</v>
      </c>
      <c r="E13" s="53" t="s">
        <v>317</v>
      </c>
      <c r="F13" s="90" t="str">
        <f>TEXT(Table12[[#This Row],[Date]],"mmm-yy")</f>
        <v>Apr-25</v>
      </c>
      <c r="G13" s="89">
        <f t="shared" si="0"/>
        <v>30</v>
      </c>
      <c r="H13" s="91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3" t="s">
        <v>98</v>
      </c>
      <c r="B14" s="53">
        <v>4</v>
      </c>
      <c r="C14" s="89">
        <f>YEAR(Table12[[#This Row],[Date]])</f>
        <v>2025</v>
      </c>
      <c r="D14" s="53" t="s">
        <v>317</v>
      </c>
      <c r="E14" s="53" t="s">
        <v>317</v>
      </c>
      <c r="F14" s="90" t="str">
        <f>TEXT(Table12[[#This Row],[Date]],"mmm-yy")</f>
        <v>Apr-25</v>
      </c>
      <c r="G14" s="89">
        <f t="shared" si="0"/>
        <v>30</v>
      </c>
      <c r="H14" s="91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3" t="s">
        <v>98</v>
      </c>
      <c r="B15" s="53">
        <v>4</v>
      </c>
      <c r="C15" s="89">
        <f>YEAR(Table12[[#This Row],[Date]])</f>
        <v>2025</v>
      </c>
      <c r="D15" s="53" t="s">
        <v>317</v>
      </c>
      <c r="E15" s="53" t="s">
        <v>317</v>
      </c>
      <c r="F15" s="90" t="str">
        <f>TEXT(Table12[[#This Row],[Date]],"mmm-yy")</f>
        <v>Apr-25</v>
      </c>
      <c r="G15" s="89">
        <f t="shared" si="0"/>
        <v>30</v>
      </c>
      <c r="H15" s="91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3" t="s">
        <v>98</v>
      </c>
      <c r="B16" s="53">
        <v>4</v>
      </c>
      <c r="C16" s="89">
        <f>YEAR(Table12[[#This Row],[Date]])</f>
        <v>2025</v>
      </c>
      <c r="D16" s="53" t="s">
        <v>317</v>
      </c>
      <c r="E16" s="53" t="s">
        <v>317</v>
      </c>
      <c r="F16" s="90" t="str">
        <f>TEXT(Table12[[#This Row],[Date]],"mmm-yy")</f>
        <v>Apr-25</v>
      </c>
      <c r="G16" s="89">
        <f t="shared" si="0"/>
        <v>30</v>
      </c>
      <c r="H16" s="91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3" t="s">
        <v>98</v>
      </c>
      <c r="B17" s="53">
        <v>4</v>
      </c>
      <c r="C17" s="89">
        <f>YEAR(Table12[[#This Row],[Date]])</f>
        <v>2025</v>
      </c>
      <c r="D17" s="53" t="s">
        <v>317</v>
      </c>
      <c r="E17" s="53" t="s">
        <v>317</v>
      </c>
      <c r="F17" s="90" t="str">
        <f>TEXT(Table12[[#This Row],[Date]],"mmm-yy")</f>
        <v>Apr-25</v>
      </c>
      <c r="G17" s="89">
        <f t="shared" si="0"/>
        <v>30</v>
      </c>
      <c r="H17" s="91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3" t="s">
        <v>98</v>
      </c>
      <c r="B18" s="53">
        <v>4</v>
      </c>
      <c r="C18" s="89">
        <f>YEAR(Table12[[#This Row],[Date]])</f>
        <v>2025</v>
      </c>
      <c r="D18" s="53" t="s">
        <v>317</v>
      </c>
      <c r="E18" s="53" t="s">
        <v>317</v>
      </c>
      <c r="F18" s="90" t="str">
        <f>TEXT(Table12[[#This Row],[Date]],"mmm-yy")</f>
        <v>Apr-25</v>
      </c>
      <c r="G18" s="89">
        <f t="shared" si="0"/>
        <v>30</v>
      </c>
      <c r="H18" s="91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3" t="s">
        <v>98</v>
      </c>
      <c r="B19" s="53">
        <v>4</v>
      </c>
      <c r="C19" s="89">
        <f>YEAR(Table12[[#This Row],[Date]])</f>
        <v>2025</v>
      </c>
      <c r="D19" s="53" t="s">
        <v>317</v>
      </c>
      <c r="E19" s="53" t="s">
        <v>317</v>
      </c>
      <c r="F19" s="90" t="str">
        <f>TEXT(Table12[[#This Row],[Date]],"mmm-yy")</f>
        <v>Apr-25</v>
      </c>
      <c r="G19" s="89">
        <f t="shared" si="0"/>
        <v>30</v>
      </c>
      <c r="H19" s="91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3" t="s">
        <v>98</v>
      </c>
      <c r="B20" s="53">
        <v>4</v>
      </c>
      <c r="C20" s="89">
        <f>YEAR(Table12[[#This Row],[Date]])</f>
        <v>2025</v>
      </c>
      <c r="D20" s="53" t="s">
        <v>317</v>
      </c>
      <c r="E20" s="53" t="s">
        <v>317</v>
      </c>
      <c r="F20" s="90" t="str">
        <f>TEXT(Table12[[#This Row],[Date]],"mmm-yy")</f>
        <v>Apr-25</v>
      </c>
      <c r="G20" s="89">
        <f t="shared" si="0"/>
        <v>30</v>
      </c>
      <c r="H20" s="91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3" t="s">
        <v>98</v>
      </c>
      <c r="B21" s="53">
        <v>4</v>
      </c>
      <c r="C21" s="89">
        <f>YEAR(Table12[[#This Row],[Date]])</f>
        <v>2025</v>
      </c>
      <c r="D21" s="53" t="s">
        <v>317</v>
      </c>
      <c r="E21" s="53" t="s">
        <v>317</v>
      </c>
      <c r="F21" s="90" t="str">
        <f>TEXT(Table12[[#This Row],[Date]],"mmm-yy")</f>
        <v>Apr-25</v>
      </c>
      <c r="G21" s="89">
        <f t="shared" si="0"/>
        <v>30</v>
      </c>
      <c r="H21" s="91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3" t="s">
        <v>98</v>
      </c>
      <c r="B22" s="53">
        <v>4</v>
      </c>
      <c r="C22" s="89">
        <f>YEAR(Table12[[#This Row],[Date]])</f>
        <v>2025</v>
      </c>
      <c r="D22" s="53" t="s">
        <v>317</v>
      </c>
      <c r="E22" s="53" t="s">
        <v>317</v>
      </c>
      <c r="F22" s="90" t="str">
        <f>TEXT(Table12[[#This Row],[Date]],"mmm-yy")</f>
        <v>Apr-25</v>
      </c>
      <c r="G22" s="89">
        <f t="shared" si="0"/>
        <v>30</v>
      </c>
      <c r="H22" s="91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3" t="s">
        <v>98</v>
      </c>
      <c r="B23" s="53">
        <v>4</v>
      </c>
      <c r="C23" s="89">
        <f>YEAR(Table12[[#This Row],[Date]])</f>
        <v>2025</v>
      </c>
      <c r="D23" s="53" t="s">
        <v>317</v>
      </c>
      <c r="E23" s="53" t="s">
        <v>317</v>
      </c>
      <c r="F23" s="90" t="str">
        <f>TEXT(Table12[[#This Row],[Date]],"mmm-yy")</f>
        <v>Apr-25</v>
      </c>
      <c r="G23" s="89">
        <f t="shared" si="0"/>
        <v>30</v>
      </c>
      <c r="H23" s="91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3" t="s">
        <v>98</v>
      </c>
      <c r="B24" s="53">
        <v>4</v>
      </c>
      <c r="C24" s="89">
        <f>YEAR(Table12[[#This Row],[Date]])</f>
        <v>2025</v>
      </c>
      <c r="D24" s="53" t="s">
        <v>317</v>
      </c>
      <c r="E24" s="53" t="s">
        <v>317</v>
      </c>
      <c r="F24" s="90" t="str">
        <f>TEXT(Table12[[#This Row],[Date]],"mmm-yy")</f>
        <v>Apr-25</v>
      </c>
      <c r="G24" s="89">
        <f t="shared" si="0"/>
        <v>30</v>
      </c>
      <c r="H24" s="91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3" t="s">
        <v>98</v>
      </c>
      <c r="B25" s="53">
        <v>4</v>
      </c>
      <c r="C25" s="89">
        <f>YEAR(Table12[[#This Row],[Date]])</f>
        <v>2025</v>
      </c>
      <c r="D25" s="53" t="s">
        <v>317</v>
      </c>
      <c r="E25" s="53" t="s">
        <v>317</v>
      </c>
      <c r="F25" s="90" t="str">
        <f>TEXT(Table12[[#This Row],[Date]],"mmm-yy")</f>
        <v>Apr-25</v>
      </c>
      <c r="G25" s="89">
        <f t="shared" si="0"/>
        <v>30</v>
      </c>
      <c r="H25" s="91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3" t="s">
        <v>98</v>
      </c>
      <c r="B26" s="53">
        <v>4</v>
      </c>
      <c r="C26" s="89">
        <f>YEAR(Table12[[#This Row],[Date]])</f>
        <v>2025</v>
      </c>
      <c r="D26" s="53" t="s">
        <v>317</v>
      </c>
      <c r="E26" s="53" t="s">
        <v>317</v>
      </c>
      <c r="F26" s="90" t="str">
        <f>TEXT(Table12[[#This Row],[Date]],"mmm-yy")</f>
        <v>Apr-25</v>
      </c>
      <c r="G26" s="89">
        <f t="shared" si="0"/>
        <v>30</v>
      </c>
      <c r="H26" s="91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3" t="s">
        <v>98</v>
      </c>
      <c r="B27" s="53">
        <v>4</v>
      </c>
      <c r="C27" s="89">
        <f>YEAR(Table12[[#This Row],[Date]])</f>
        <v>2025</v>
      </c>
      <c r="D27" s="53" t="s">
        <v>317</v>
      </c>
      <c r="E27" s="53" t="s">
        <v>317</v>
      </c>
      <c r="F27" s="90" t="str">
        <f>TEXT(Table12[[#This Row],[Date]],"mmm-yy")</f>
        <v>Apr-25</v>
      </c>
      <c r="G27" s="89">
        <f t="shared" si="0"/>
        <v>30</v>
      </c>
      <c r="H27" s="91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3" t="s">
        <v>98</v>
      </c>
      <c r="B28" s="53">
        <v>4</v>
      </c>
      <c r="C28" s="89">
        <f>YEAR(Table12[[#This Row],[Date]])</f>
        <v>2025</v>
      </c>
      <c r="D28" s="53" t="s">
        <v>317</v>
      </c>
      <c r="E28" s="53" t="s">
        <v>317</v>
      </c>
      <c r="F28" s="90" t="str">
        <f>TEXT(Table12[[#This Row],[Date]],"mmm-yy")</f>
        <v>Apr-25</v>
      </c>
      <c r="G28" s="89">
        <f t="shared" si="0"/>
        <v>30</v>
      </c>
      <c r="H28" s="91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3" t="s">
        <v>98</v>
      </c>
      <c r="B29" s="53">
        <v>4</v>
      </c>
      <c r="C29" s="89">
        <f>YEAR(Table12[[#This Row],[Date]])</f>
        <v>2025</v>
      </c>
      <c r="D29" s="53" t="s">
        <v>317</v>
      </c>
      <c r="E29" s="53" t="s">
        <v>317</v>
      </c>
      <c r="F29" s="90" t="str">
        <f>TEXT(Table12[[#This Row],[Date]],"mmm-yy")</f>
        <v>Apr-25</v>
      </c>
      <c r="G29" s="89">
        <f t="shared" si="0"/>
        <v>30</v>
      </c>
      <c r="H29" s="91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3" t="s">
        <v>98</v>
      </c>
      <c r="B30" s="53">
        <v>4</v>
      </c>
      <c r="C30" s="89">
        <f>YEAR(Table12[[#This Row],[Date]])</f>
        <v>2025</v>
      </c>
      <c r="D30" s="53" t="s">
        <v>317</v>
      </c>
      <c r="E30" s="53" t="s">
        <v>317</v>
      </c>
      <c r="F30" s="90" t="str">
        <f>TEXT(Table12[[#This Row],[Date]],"mmm-yy")</f>
        <v>Apr-25</v>
      </c>
      <c r="G30" s="89">
        <f t="shared" si="0"/>
        <v>30</v>
      </c>
      <c r="H30" s="91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3" t="s">
        <v>98</v>
      </c>
      <c r="B31" s="53">
        <v>4</v>
      </c>
      <c r="C31" s="89">
        <f>YEAR(Table12[[#This Row],[Date]])</f>
        <v>2025</v>
      </c>
      <c r="D31" s="53" t="s">
        <v>317</v>
      </c>
      <c r="E31" s="53" t="s">
        <v>317</v>
      </c>
      <c r="F31" s="90" t="str">
        <f>TEXT(Table12[[#This Row],[Date]],"mmm-yy")</f>
        <v>Apr-25</v>
      </c>
      <c r="G31" s="89">
        <f t="shared" si="0"/>
        <v>30</v>
      </c>
      <c r="H31" s="91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3" t="s">
        <v>98</v>
      </c>
      <c r="B32" s="53">
        <v>4</v>
      </c>
      <c r="C32" s="89">
        <f>YEAR(Table12[[#This Row],[Date]])</f>
        <v>2025</v>
      </c>
      <c r="D32" s="53" t="s">
        <v>317</v>
      </c>
      <c r="E32" s="53" t="s">
        <v>317</v>
      </c>
      <c r="F32" s="90" t="str">
        <f>TEXT(Table12[[#This Row],[Date]],"mmm-yy")</f>
        <v>Apr-25</v>
      </c>
      <c r="G32" s="89">
        <f t="shared" si="0"/>
        <v>30</v>
      </c>
      <c r="H32" s="91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3" t="s">
        <v>98</v>
      </c>
      <c r="B33" s="53">
        <v>4</v>
      </c>
      <c r="C33" s="89">
        <f>YEAR(Table12[[#This Row],[Date]])</f>
        <v>2025</v>
      </c>
      <c r="D33" s="53" t="s">
        <v>317</v>
      </c>
      <c r="E33" s="53" t="s">
        <v>317</v>
      </c>
      <c r="F33" s="90" t="str">
        <f>TEXT(Table12[[#This Row],[Date]],"mmm-yy")</f>
        <v>Apr-25</v>
      </c>
      <c r="G33" s="89">
        <f t="shared" si="0"/>
        <v>30</v>
      </c>
      <c r="H33" s="91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3" t="s">
        <v>98</v>
      </c>
      <c r="B34" s="53">
        <v>4</v>
      </c>
      <c r="C34" s="89">
        <f>YEAR(Table12[[#This Row],[Date]])</f>
        <v>2025</v>
      </c>
      <c r="D34" s="53" t="s">
        <v>317</v>
      </c>
      <c r="E34" s="53" t="s">
        <v>317</v>
      </c>
      <c r="F34" s="90" t="str">
        <f>TEXT(Table12[[#This Row],[Date]],"mmm-yy")</f>
        <v>Apr-25</v>
      </c>
      <c r="G34" s="89">
        <f t="shared" si="0"/>
        <v>30</v>
      </c>
      <c r="H34" s="91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3" t="s">
        <v>98</v>
      </c>
      <c r="B35" s="53">
        <v>4</v>
      </c>
      <c r="C35" s="89">
        <f>YEAR(Table12[[#This Row],[Date]])</f>
        <v>2025</v>
      </c>
      <c r="D35" s="53" t="s">
        <v>317</v>
      </c>
      <c r="E35" s="53" t="s">
        <v>317</v>
      </c>
      <c r="F35" s="90" t="str">
        <f>TEXT(Table12[[#This Row],[Date]],"mmm-yy")</f>
        <v>Apr-25</v>
      </c>
      <c r="G35" s="89">
        <f t="shared" ref="G35" si="4">DAY(EOMONTH(F35,0))</f>
        <v>30</v>
      </c>
      <c r="H35" s="91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70"/>
      <c r="B36" s="270"/>
      <c r="C36" s="270">
        <f>YEAR(Table12[[#This Row],[Date]])</f>
        <v>2025</v>
      </c>
      <c r="D36" s="270"/>
      <c r="E36" s="270"/>
      <c r="F36" s="271" t="str">
        <f>TEXT(Table12[[#This Row],[Date]],"mmm-yy")</f>
        <v>Apr-25</v>
      </c>
      <c r="G36" s="270">
        <f t="shared" ref="G36:G67" si="5">DAY(EOMONTH(F36,0))</f>
        <v>30</v>
      </c>
      <c r="H36" s="272">
        <f t="shared" ref="H36:H67" si="6">H35+1</f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70"/>
      <c r="B37" s="270"/>
      <c r="C37" s="270">
        <f>YEAR(Table12[[#This Row],[Date]])</f>
        <v>2025</v>
      </c>
      <c r="D37" s="270"/>
      <c r="E37" s="270"/>
      <c r="F37" s="271" t="str">
        <f>TEXT(Table12[[#This Row],[Date]],"mmm-yy")</f>
        <v>May-25</v>
      </c>
      <c r="G37" s="270">
        <f t="shared" si="5"/>
        <v>31</v>
      </c>
      <c r="H37" s="272">
        <f t="shared" si="6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70"/>
      <c r="B38" s="270"/>
      <c r="C38" s="270">
        <f>YEAR(Table12[[#This Row],[Date]])</f>
        <v>2025</v>
      </c>
      <c r="D38" s="270"/>
      <c r="E38" s="270"/>
      <c r="F38" s="271" t="str">
        <f>TEXT(Table12[[#This Row],[Date]],"mmm-yy")</f>
        <v>May-25</v>
      </c>
      <c r="G38" s="270">
        <f t="shared" si="5"/>
        <v>31</v>
      </c>
      <c r="H38" s="272">
        <f t="shared" si="6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70"/>
      <c r="B39" s="270"/>
      <c r="C39" s="270">
        <f>YEAR(Table12[[#This Row],[Date]])</f>
        <v>2025</v>
      </c>
      <c r="D39" s="270"/>
      <c r="E39" s="270"/>
      <c r="F39" s="271" t="str">
        <f>TEXT(Table12[[#This Row],[Date]],"mmm-yy")</f>
        <v>May-25</v>
      </c>
      <c r="G39" s="270">
        <f t="shared" si="5"/>
        <v>31</v>
      </c>
      <c r="H39" s="272">
        <f t="shared" si="6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70"/>
      <c r="B40" s="270"/>
      <c r="C40" s="270">
        <f>YEAR(Table12[[#This Row],[Date]])</f>
        <v>2025</v>
      </c>
      <c r="D40" s="270"/>
      <c r="E40" s="270"/>
      <c r="F40" s="271" t="str">
        <f>TEXT(Table12[[#This Row],[Date]],"mmm-yy")</f>
        <v>May-25</v>
      </c>
      <c r="G40" s="270">
        <f t="shared" si="5"/>
        <v>31</v>
      </c>
      <c r="H40" s="272">
        <f t="shared" si="6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70"/>
      <c r="B41" s="270"/>
      <c r="C41" s="270">
        <f>YEAR(Table12[[#This Row],[Date]])</f>
        <v>2025</v>
      </c>
      <c r="D41" s="270"/>
      <c r="E41" s="270"/>
      <c r="F41" s="271" t="str">
        <f>TEXT(Table12[[#This Row],[Date]],"mmm-yy")</f>
        <v>May-25</v>
      </c>
      <c r="G41" s="270">
        <f t="shared" si="5"/>
        <v>31</v>
      </c>
      <c r="H41" s="272">
        <f t="shared" si="6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70"/>
      <c r="B42" s="270"/>
      <c r="C42" s="270">
        <f>YEAR(Table12[[#This Row],[Date]])</f>
        <v>2025</v>
      </c>
      <c r="D42" s="270"/>
      <c r="E42" s="270"/>
      <c r="F42" s="271" t="str">
        <f>TEXT(Table12[[#This Row],[Date]],"mmm-yy")</f>
        <v>May-25</v>
      </c>
      <c r="G42" s="270">
        <f t="shared" si="5"/>
        <v>31</v>
      </c>
      <c r="H42" s="272">
        <f t="shared" si="6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70"/>
      <c r="B43" s="270"/>
      <c r="C43" s="270">
        <f>YEAR(Table12[[#This Row],[Date]])</f>
        <v>2025</v>
      </c>
      <c r="D43" s="270"/>
      <c r="E43" s="270"/>
      <c r="F43" s="271" t="str">
        <f>TEXT(Table12[[#This Row],[Date]],"mmm-yy")</f>
        <v>May-25</v>
      </c>
      <c r="G43" s="270">
        <f t="shared" si="5"/>
        <v>31</v>
      </c>
      <c r="H43" s="272">
        <f t="shared" si="6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70"/>
      <c r="B44" s="270"/>
      <c r="C44" s="270">
        <f>YEAR(Table12[[#This Row],[Date]])</f>
        <v>2025</v>
      </c>
      <c r="D44" s="270"/>
      <c r="E44" s="270"/>
      <c r="F44" s="271" t="str">
        <f>TEXT(Table12[[#This Row],[Date]],"mmm-yy")</f>
        <v>May-25</v>
      </c>
      <c r="G44" s="270">
        <f t="shared" si="5"/>
        <v>31</v>
      </c>
      <c r="H44" s="272">
        <f t="shared" si="6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70"/>
      <c r="B45" s="270"/>
      <c r="C45" s="270">
        <f>YEAR(Table12[[#This Row],[Date]])</f>
        <v>2025</v>
      </c>
      <c r="D45" s="270"/>
      <c r="E45" s="270"/>
      <c r="F45" s="271" t="str">
        <f>TEXT(Table12[[#This Row],[Date]],"mmm-yy")</f>
        <v>May-25</v>
      </c>
      <c r="G45" s="270">
        <f t="shared" si="5"/>
        <v>31</v>
      </c>
      <c r="H45" s="272">
        <f t="shared" si="6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70"/>
      <c r="B46" s="270"/>
      <c r="C46" s="270">
        <f>YEAR(Table12[[#This Row],[Date]])</f>
        <v>2025</v>
      </c>
      <c r="D46" s="270"/>
      <c r="E46" s="270"/>
      <c r="F46" s="271" t="str">
        <f>TEXT(Table12[[#This Row],[Date]],"mmm-yy")</f>
        <v>May-25</v>
      </c>
      <c r="G46" s="270">
        <f t="shared" si="5"/>
        <v>31</v>
      </c>
      <c r="H46" s="272">
        <f t="shared" si="6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70"/>
      <c r="B47" s="270"/>
      <c r="C47" s="270">
        <f>YEAR(Table12[[#This Row],[Date]])</f>
        <v>2025</v>
      </c>
      <c r="D47" s="270"/>
      <c r="E47" s="270"/>
      <c r="F47" s="271" t="str">
        <f>TEXT(Table12[[#This Row],[Date]],"mmm-yy")</f>
        <v>May-25</v>
      </c>
      <c r="G47" s="270">
        <f t="shared" si="5"/>
        <v>31</v>
      </c>
      <c r="H47" s="272">
        <f t="shared" si="6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70"/>
      <c r="B48" s="270"/>
      <c r="C48" s="270">
        <f>YEAR(Table12[[#This Row],[Date]])</f>
        <v>2025</v>
      </c>
      <c r="D48" s="270"/>
      <c r="E48" s="270"/>
      <c r="F48" s="271" t="str">
        <f>TEXT(Table12[[#This Row],[Date]],"mmm-yy")</f>
        <v>May-25</v>
      </c>
      <c r="G48" s="270">
        <f t="shared" si="5"/>
        <v>31</v>
      </c>
      <c r="H48" s="272">
        <f t="shared" si="6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70"/>
      <c r="B49" s="270"/>
      <c r="C49" s="270">
        <f>YEAR(Table12[[#This Row],[Date]])</f>
        <v>2025</v>
      </c>
      <c r="D49" s="270"/>
      <c r="E49" s="270"/>
      <c r="F49" s="271" t="str">
        <f>TEXT(Table12[[#This Row],[Date]],"mmm-yy")</f>
        <v>May-25</v>
      </c>
      <c r="G49" s="270">
        <f t="shared" si="5"/>
        <v>31</v>
      </c>
      <c r="H49" s="272">
        <f t="shared" si="6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70"/>
      <c r="B50" s="270"/>
      <c r="C50" s="270">
        <f>YEAR(Table12[[#This Row],[Date]])</f>
        <v>2025</v>
      </c>
      <c r="D50" s="270"/>
      <c r="E50" s="270"/>
      <c r="F50" s="271" t="str">
        <f>TEXT(Table12[[#This Row],[Date]],"mmm-yy")</f>
        <v>May-25</v>
      </c>
      <c r="G50" s="270">
        <f t="shared" si="5"/>
        <v>31</v>
      </c>
      <c r="H50" s="272">
        <f t="shared" si="6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70"/>
      <c r="B51" s="270"/>
      <c r="C51" s="270">
        <f>YEAR(Table12[[#This Row],[Date]])</f>
        <v>2025</v>
      </c>
      <c r="D51" s="270"/>
      <c r="E51" s="270"/>
      <c r="F51" s="271" t="str">
        <f>TEXT(Table12[[#This Row],[Date]],"mmm-yy")</f>
        <v>May-25</v>
      </c>
      <c r="G51" s="270">
        <f t="shared" si="5"/>
        <v>31</v>
      </c>
      <c r="H51" s="272">
        <f t="shared" si="6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70"/>
      <c r="B52" s="270"/>
      <c r="C52" s="270">
        <f>YEAR(Table12[[#This Row],[Date]])</f>
        <v>2025</v>
      </c>
      <c r="D52" s="270"/>
      <c r="E52" s="270"/>
      <c r="F52" s="271" t="str">
        <f>TEXT(Table12[[#This Row],[Date]],"mmm-yy")</f>
        <v>May-25</v>
      </c>
      <c r="G52" s="270">
        <f t="shared" si="5"/>
        <v>31</v>
      </c>
      <c r="H52" s="272">
        <f t="shared" si="6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70"/>
      <c r="B53" s="270"/>
      <c r="C53" s="270">
        <f>YEAR(Table12[[#This Row],[Date]])</f>
        <v>2025</v>
      </c>
      <c r="D53" s="270"/>
      <c r="E53" s="270"/>
      <c r="F53" s="271" t="str">
        <f>TEXT(Table12[[#This Row],[Date]],"mmm-yy")</f>
        <v>May-25</v>
      </c>
      <c r="G53" s="270">
        <f t="shared" si="5"/>
        <v>31</v>
      </c>
      <c r="H53" s="272">
        <f t="shared" si="6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70"/>
      <c r="B54" s="270"/>
      <c r="C54" s="270">
        <f>YEAR(Table12[[#This Row],[Date]])</f>
        <v>2025</v>
      </c>
      <c r="D54" s="270"/>
      <c r="E54" s="270"/>
      <c r="F54" s="271" t="str">
        <f>TEXT(Table12[[#This Row],[Date]],"mmm-yy")</f>
        <v>May-25</v>
      </c>
      <c r="G54" s="270">
        <f t="shared" si="5"/>
        <v>31</v>
      </c>
      <c r="H54" s="272">
        <f t="shared" si="6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70"/>
      <c r="B55" s="270"/>
      <c r="C55" s="270">
        <f>YEAR(Table12[[#This Row],[Date]])</f>
        <v>2025</v>
      </c>
      <c r="D55" s="270"/>
      <c r="E55" s="270"/>
      <c r="F55" s="271" t="str">
        <f>TEXT(Table12[[#This Row],[Date]],"mmm-yy")</f>
        <v>May-25</v>
      </c>
      <c r="G55" s="270">
        <f t="shared" si="5"/>
        <v>31</v>
      </c>
      <c r="H55" s="272">
        <f t="shared" si="6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70"/>
      <c r="B56" s="270"/>
      <c r="C56" s="270">
        <f>YEAR(Table12[[#This Row],[Date]])</f>
        <v>2025</v>
      </c>
      <c r="D56" s="270"/>
      <c r="E56" s="270"/>
      <c r="F56" s="271" t="str">
        <f>TEXT(Table12[[#This Row],[Date]],"mmm-yy")</f>
        <v>May-25</v>
      </c>
      <c r="G56" s="270">
        <f t="shared" si="5"/>
        <v>31</v>
      </c>
      <c r="H56" s="272">
        <f t="shared" si="6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70"/>
      <c r="B57" s="270"/>
      <c r="C57" s="270">
        <f>YEAR(Table12[[#This Row],[Date]])</f>
        <v>2025</v>
      </c>
      <c r="D57" s="270"/>
      <c r="E57" s="270"/>
      <c r="F57" s="271" t="str">
        <f>TEXT(Table12[[#This Row],[Date]],"mmm-yy")</f>
        <v>May-25</v>
      </c>
      <c r="G57" s="270">
        <f t="shared" si="5"/>
        <v>31</v>
      </c>
      <c r="H57" s="272">
        <f t="shared" si="6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70"/>
      <c r="B58" s="270"/>
      <c r="C58" s="270">
        <f>YEAR(Table12[[#This Row],[Date]])</f>
        <v>2025</v>
      </c>
      <c r="D58" s="270"/>
      <c r="E58" s="270"/>
      <c r="F58" s="271" t="str">
        <f>TEXT(Table12[[#This Row],[Date]],"mmm-yy")</f>
        <v>May-25</v>
      </c>
      <c r="G58" s="270">
        <f t="shared" si="5"/>
        <v>31</v>
      </c>
      <c r="H58" s="272">
        <f t="shared" si="6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70"/>
      <c r="B59" s="270"/>
      <c r="C59" s="270">
        <f>YEAR(Table12[[#This Row],[Date]])</f>
        <v>2025</v>
      </c>
      <c r="D59" s="270"/>
      <c r="E59" s="270"/>
      <c r="F59" s="271" t="str">
        <f>TEXT(Table12[[#This Row],[Date]],"mmm-yy")</f>
        <v>May-25</v>
      </c>
      <c r="G59" s="270">
        <f t="shared" si="5"/>
        <v>31</v>
      </c>
      <c r="H59" s="272">
        <f t="shared" si="6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70"/>
      <c r="B60" s="270"/>
      <c r="C60" s="270">
        <f>YEAR(Table12[[#This Row],[Date]])</f>
        <v>2025</v>
      </c>
      <c r="D60" s="270"/>
      <c r="E60" s="270"/>
      <c r="F60" s="271" t="str">
        <f>TEXT(Table12[[#This Row],[Date]],"mmm-yy")</f>
        <v>May-25</v>
      </c>
      <c r="G60" s="270">
        <f t="shared" si="5"/>
        <v>31</v>
      </c>
      <c r="H60" s="272">
        <f t="shared" si="6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70"/>
      <c r="B61" s="270"/>
      <c r="C61" s="270">
        <f>YEAR(Table12[[#This Row],[Date]])</f>
        <v>2025</v>
      </c>
      <c r="D61" s="270"/>
      <c r="E61" s="270"/>
      <c r="F61" s="271" t="str">
        <f>TEXT(Table12[[#This Row],[Date]],"mmm-yy")</f>
        <v>May-25</v>
      </c>
      <c r="G61" s="270">
        <f t="shared" si="5"/>
        <v>31</v>
      </c>
      <c r="H61" s="272">
        <f t="shared" si="6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70"/>
      <c r="B62" s="270"/>
      <c r="C62" s="270">
        <f>YEAR(Table12[[#This Row],[Date]])</f>
        <v>2025</v>
      </c>
      <c r="D62" s="270"/>
      <c r="E62" s="270"/>
      <c r="F62" s="271" t="str">
        <f>TEXT(Table12[[#This Row],[Date]],"mmm-yy")</f>
        <v>May-25</v>
      </c>
      <c r="G62" s="270">
        <f t="shared" si="5"/>
        <v>31</v>
      </c>
      <c r="H62" s="272">
        <f t="shared" si="6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70"/>
      <c r="B63" s="270"/>
      <c r="C63" s="270">
        <f>YEAR(Table12[[#This Row],[Date]])</f>
        <v>2025</v>
      </c>
      <c r="D63" s="270"/>
      <c r="E63" s="270"/>
      <c r="F63" s="271" t="str">
        <f>TEXT(Table12[[#This Row],[Date]],"mmm-yy")</f>
        <v>May-25</v>
      </c>
      <c r="G63" s="270">
        <f t="shared" si="5"/>
        <v>31</v>
      </c>
      <c r="H63" s="272">
        <f t="shared" si="6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70"/>
      <c r="B64" s="270"/>
      <c r="C64" s="270">
        <f>YEAR(Table12[[#This Row],[Date]])</f>
        <v>2025</v>
      </c>
      <c r="D64" s="270"/>
      <c r="E64" s="270"/>
      <c r="F64" s="271" t="str">
        <f>TEXT(Table12[[#This Row],[Date]],"mmm-yy")</f>
        <v>May-25</v>
      </c>
      <c r="G64" s="270">
        <f t="shared" si="5"/>
        <v>31</v>
      </c>
      <c r="H64" s="272">
        <f t="shared" si="6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70"/>
      <c r="B65" s="270"/>
      <c r="C65" s="270">
        <f>YEAR(Table12[[#This Row],[Date]])</f>
        <v>2025</v>
      </c>
      <c r="D65" s="270"/>
      <c r="E65" s="270"/>
      <c r="F65" s="271" t="str">
        <f>TEXT(Table12[[#This Row],[Date]],"mmm-yy")</f>
        <v>May-25</v>
      </c>
      <c r="G65" s="270">
        <f t="shared" si="5"/>
        <v>31</v>
      </c>
      <c r="H65" s="272">
        <f t="shared" si="6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70"/>
      <c r="B66" s="270"/>
      <c r="C66" s="270">
        <f>YEAR(Table12[[#This Row],[Date]])</f>
        <v>2025</v>
      </c>
      <c r="D66" s="270"/>
      <c r="E66" s="270"/>
      <c r="F66" s="271" t="str">
        <f>TEXT(Table12[[#This Row],[Date]],"mmm-yy")</f>
        <v>May-25</v>
      </c>
      <c r="G66" s="270">
        <f t="shared" si="5"/>
        <v>31</v>
      </c>
      <c r="H66" s="272">
        <f t="shared" si="6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70"/>
      <c r="B67" s="270"/>
      <c r="C67" s="270">
        <f>YEAR(Table12[[#This Row],[Date]])</f>
        <v>2025</v>
      </c>
      <c r="D67" s="270"/>
      <c r="E67" s="270"/>
      <c r="F67" s="271" t="str">
        <f>TEXT(Table12[[#This Row],[Date]],"mmm-yy")</f>
        <v>May-25</v>
      </c>
      <c r="G67" s="270">
        <f t="shared" si="5"/>
        <v>31</v>
      </c>
      <c r="H67" s="272">
        <f t="shared" si="6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70"/>
      <c r="B68" s="270"/>
      <c r="C68" s="270">
        <f>YEAR(Table12[[#This Row],[Date]])</f>
        <v>2025</v>
      </c>
      <c r="D68" s="270"/>
      <c r="E68" s="270"/>
      <c r="F68" s="271" t="str">
        <f>TEXT(Table12[[#This Row],[Date]],"mmm-yy")</f>
        <v>Jun-25</v>
      </c>
      <c r="G68" s="270">
        <f t="shared" ref="G68:G99" si="9">DAY(EOMONTH(F68,0))</f>
        <v>30</v>
      </c>
      <c r="H68" s="272">
        <f t="shared" ref="H68:H99" si="10">H67+1</f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70"/>
      <c r="B69" s="270"/>
      <c r="C69" s="270">
        <f>YEAR(Table12[[#This Row],[Date]])</f>
        <v>2025</v>
      </c>
      <c r="D69" s="270"/>
      <c r="E69" s="270"/>
      <c r="F69" s="271" t="str">
        <f>TEXT(Table12[[#This Row],[Date]],"mmm-yy")</f>
        <v>Jun-25</v>
      </c>
      <c r="G69" s="270">
        <f t="shared" si="9"/>
        <v>30</v>
      </c>
      <c r="H69" s="272">
        <f t="shared" si="10"/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70"/>
      <c r="B70" s="270"/>
      <c r="C70" s="270">
        <f>YEAR(Table12[[#This Row],[Date]])</f>
        <v>2025</v>
      </c>
      <c r="D70" s="270"/>
      <c r="E70" s="270"/>
      <c r="F70" s="271" t="str">
        <f>TEXT(Table12[[#This Row],[Date]],"mmm-yy")</f>
        <v>Jun-25</v>
      </c>
      <c r="G70" s="270">
        <f t="shared" si="9"/>
        <v>30</v>
      </c>
      <c r="H70" s="272">
        <f t="shared" si="10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70"/>
      <c r="B71" s="270"/>
      <c r="C71" s="270">
        <f>YEAR(Table12[[#This Row],[Date]])</f>
        <v>2025</v>
      </c>
      <c r="D71" s="270"/>
      <c r="E71" s="270"/>
      <c r="F71" s="271" t="str">
        <f>TEXT(Table12[[#This Row],[Date]],"mmm-yy")</f>
        <v>Jun-25</v>
      </c>
      <c r="G71" s="270">
        <f t="shared" si="9"/>
        <v>30</v>
      </c>
      <c r="H71" s="272">
        <f t="shared" si="10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70"/>
      <c r="B72" s="270"/>
      <c r="C72" s="270">
        <f>YEAR(Table12[[#This Row],[Date]])</f>
        <v>2025</v>
      </c>
      <c r="D72" s="270"/>
      <c r="E72" s="270"/>
      <c r="F72" s="271" t="str">
        <f>TEXT(Table12[[#This Row],[Date]],"mmm-yy")</f>
        <v>Jun-25</v>
      </c>
      <c r="G72" s="270">
        <f t="shared" si="9"/>
        <v>30</v>
      </c>
      <c r="H72" s="272">
        <f t="shared" si="10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70"/>
      <c r="B73" s="270"/>
      <c r="C73" s="270">
        <f>YEAR(Table12[[#This Row],[Date]])</f>
        <v>2025</v>
      </c>
      <c r="D73" s="270"/>
      <c r="E73" s="270"/>
      <c r="F73" s="271" t="str">
        <f>TEXT(Table12[[#This Row],[Date]],"mmm-yy")</f>
        <v>Jun-25</v>
      </c>
      <c r="G73" s="270">
        <f t="shared" si="9"/>
        <v>30</v>
      </c>
      <c r="H73" s="272">
        <f t="shared" si="10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70"/>
      <c r="B74" s="270"/>
      <c r="C74" s="270">
        <f>YEAR(Table12[[#This Row],[Date]])</f>
        <v>2025</v>
      </c>
      <c r="D74" s="270"/>
      <c r="E74" s="270"/>
      <c r="F74" s="271" t="str">
        <f>TEXT(Table12[[#This Row],[Date]],"mmm-yy")</f>
        <v>Jun-25</v>
      </c>
      <c r="G74" s="270">
        <f t="shared" si="9"/>
        <v>30</v>
      </c>
      <c r="H74" s="272">
        <f t="shared" si="10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70"/>
      <c r="B75" s="270"/>
      <c r="C75" s="270">
        <f>YEAR(Table12[[#This Row],[Date]])</f>
        <v>2025</v>
      </c>
      <c r="D75" s="270"/>
      <c r="E75" s="270"/>
      <c r="F75" s="271" t="str">
        <f>TEXT(Table12[[#This Row],[Date]],"mmm-yy")</f>
        <v>Jun-25</v>
      </c>
      <c r="G75" s="270">
        <f t="shared" si="9"/>
        <v>30</v>
      </c>
      <c r="H75" s="272">
        <f t="shared" si="10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70"/>
      <c r="B76" s="270"/>
      <c r="C76" s="270">
        <f>YEAR(Table12[[#This Row],[Date]])</f>
        <v>2025</v>
      </c>
      <c r="D76" s="270"/>
      <c r="E76" s="270"/>
      <c r="F76" s="271" t="str">
        <f>TEXT(Table12[[#This Row],[Date]],"mmm-yy")</f>
        <v>Jun-25</v>
      </c>
      <c r="G76" s="270">
        <f t="shared" si="9"/>
        <v>30</v>
      </c>
      <c r="H76" s="272">
        <f t="shared" si="10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70"/>
      <c r="B77" s="270"/>
      <c r="C77" s="270">
        <f>YEAR(Table12[[#This Row],[Date]])</f>
        <v>2025</v>
      </c>
      <c r="D77" s="270"/>
      <c r="E77" s="270"/>
      <c r="F77" s="271" t="str">
        <f>TEXT(Table12[[#This Row],[Date]],"mmm-yy")</f>
        <v>Jun-25</v>
      </c>
      <c r="G77" s="270">
        <f t="shared" si="9"/>
        <v>30</v>
      </c>
      <c r="H77" s="272">
        <f t="shared" si="10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70"/>
      <c r="B78" s="270"/>
      <c r="C78" s="270">
        <f>YEAR(Table12[[#This Row],[Date]])</f>
        <v>2025</v>
      </c>
      <c r="D78" s="270"/>
      <c r="E78" s="270"/>
      <c r="F78" s="271" t="str">
        <f>TEXT(Table12[[#This Row],[Date]],"mmm-yy")</f>
        <v>Jun-25</v>
      </c>
      <c r="G78" s="270">
        <f t="shared" si="9"/>
        <v>30</v>
      </c>
      <c r="H78" s="272">
        <f t="shared" si="10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70"/>
      <c r="B79" s="270"/>
      <c r="C79" s="270">
        <f>YEAR(Table12[[#This Row],[Date]])</f>
        <v>2025</v>
      </c>
      <c r="D79" s="270"/>
      <c r="E79" s="270"/>
      <c r="F79" s="271" t="str">
        <f>TEXT(Table12[[#This Row],[Date]],"mmm-yy")</f>
        <v>Jun-25</v>
      </c>
      <c r="G79" s="270">
        <f t="shared" si="9"/>
        <v>30</v>
      </c>
      <c r="H79" s="272">
        <f t="shared" si="10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70"/>
      <c r="B80" s="270"/>
      <c r="C80" s="270">
        <f>YEAR(Table12[[#This Row],[Date]])</f>
        <v>2025</v>
      </c>
      <c r="D80" s="270"/>
      <c r="E80" s="270"/>
      <c r="F80" s="271" t="str">
        <f>TEXT(Table12[[#This Row],[Date]],"mmm-yy")</f>
        <v>Jun-25</v>
      </c>
      <c r="G80" s="270">
        <f t="shared" si="9"/>
        <v>30</v>
      </c>
      <c r="H80" s="272">
        <f t="shared" si="10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70"/>
      <c r="B81" s="270"/>
      <c r="C81" s="270">
        <f>YEAR(Table12[[#This Row],[Date]])</f>
        <v>2025</v>
      </c>
      <c r="D81" s="270"/>
      <c r="E81" s="270"/>
      <c r="F81" s="271" t="str">
        <f>TEXT(Table12[[#This Row],[Date]],"mmm-yy")</f>
        <v>Jun-25</v>
      </c>
      <c r="G81" s="270">
        <f t="shared" si="9"/>
        <v>30</v>
      </c>
      <c r="H81" s="272">
        <f t="shared" si="10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70"/>
      <c r="B82" s="270"/>
      <c r="C82" s="270">
        <f>YEAR(Table12[[#This Row],[Date]])</f>
        <v>2025</v>
      </c>
      <c r="D82" s="270"/>
      <c r="E82" s="270"/>
      <c r="F82" s="271" t="str">
        <f>TEXT(Table12[[#This Row],[Date]],"mmm-yy")</f>
        <v>Jun-25</v>
      </c>
      <c r="G82" s="270">
        <f t="shared" si="9"/>
        <v>30</v>
      </c>
      <c r="H82" s="272">
        <f t="shared" si="10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70"/>
      <c r="B83" s="270"/>
      <c r="C83" s="270">
        <f>YEAR(Table12[[#This Row],[Date]])</f>
        <v>2025</v>
      </c>
      <c r="D83" s="270"/>
      <c r="E83" s="270"/>
      <c r="F83" s="271" t="str">
        <f>TEXT(Table12[[#This Row],[Date]],"mmm-yy")</f>
        <v>Jun-25</v>
      </c>
      <c r="G83" s="270">
        <f t="shared" si="9"/>
        <v>30</v>
      </c>
      <c r="H83" s="272">
        <f t="shared" si="10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70"/>
      <c r="B84" s="270"/>
      <c r="C84" s="270">
        <f>YEAR(Table12[[#This Row],[Date]])</f>
        <v>2025</v>
      </c>
      <c r="D84" s="270"/>
      <c r="E84" s="270"/>
      <c r="F84" s="271" t="str">
        <f>TEXT(Table12[[#This Row],[Date]],"mmm-yy")</f>
        <v>Jun-25</v>
      </c>
      <c r="G84" s="270">
        <f t="shared" si="9"/>
        <v>30</v>
      </c>
      <c r="H84" s="272">
        <f t="shared" si="10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70"/>
      <c r="B85" s="270"/>
      <c r="C85" s="270">
        <f>YEAR(Table12[[#This Row],[Date]])</f>
        <v>2025</v>
      </c>
      <c r="D85" s="270"/>
      <c r="E85" s="270"/>
      <c r="F85" s="271" t="str">
        <f>TEXT(Table12[[#This Row],[Date]],"mmm-yy")</f>
        <v>Jun-25</v>
      </c>
      <c r="G85" s="270">
        <f t="shared" si="9"/>
        <v>30</v>
      </c>
      <c r="H85" s="272">
        <f t="shared" si="10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70"/>
      <c r="B86" s="270"/>
      <c r="C86" s="270">
        <f>YEAR(Table12[[#This Row],[Date]])</f>
        <v>2025</v>
      </c>
      <c r="D86" s="270"/>
      <c r="E86" s="270"/>
      <c r="F86" s="271" t="str">
        <f>TEXT(Table12[[#This Row],[Date]],"mmm-yy")</f>
        <v>Jun-25</v>
      </c>
      <c r="G86" s="270">
        <f t="shared" si="9"/>
        <v>30</v>
      </c>
      <c r="H86" s="272">
        <f t="shared" si="10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70"/>
      <c r="B87" s="270"/>
      <c r="C87" s="270">
        <f>YEAR(Table12[[#This Row],[Date]])</f>
        <v>2025</v>
      </c>
      <c r="D87" s="270"/>
      <c r="E87" s="270"/>
      <c r="F87" s="271" t="str">
        <f>TEXT(Table12[[#This Row],[Date]],"mmm-yy")</f>
        <v>Jun-25</v>
      </c>
      <c r="G87" s="270">
        <f t="shared" si="9"/>
        <v>30</v>
      </c>
      <c r="H87" s="272">
        <f t="shared" si="10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70"/>
      <c r="B88" s="270"/>
      <c r="C88" s="270">
        <f>YEAR(Table12[[#This Row],[Date]])</f>
        <v>2025</v>
      </c>
      <c r="D88" s="270"/>
      <c r="E88" s="270"/>
      <c r="F88" s="271" t="str">
        <f>TEXT(Table12[[#This Row],[Date]],"mmm-yy")</f>
        <v>Jun-25</v>
      </c>
      <c r="G88" s="270">
        <f t="shared" si="9"/>
        <v>30</v>
      </c>
      <c r="H88" s="272">
        <f t="shared" si="10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70"/>
      <c r="B89" s="270"/>
      <c r="C89" s="270">
        <f>YEAR(Table12[[#This Row],[Date]])</f>
        <v>2025</v>
      </c>
      <c r="D89" s="270"/>
      <c r="E89" s="270"/>
      <c r="F89" s="271" t="str">
        <f>TEXT(Table12[[#This Row],[Date]],"mmm-yy")</f>
        <v>Jun-25</v>
      </c>
      <c r="G89" s="270">
        <f t="shared" si="9"/>
        <v>30</v>
      </c>
      <c r="H89" s="272">
        <f t="shared" si="10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70"/>
      <c r="B90" s="270"/>
      <c r="C90" s="270">
        <f>YEAR(Table12[[#This Row],[Date]])</f>
        <v>2025</v>
      </c>
      <c r="D90" s="270"/>
      <c r="E90" s="270"/>
      <c r="F90" s="271" t="str">
        <f>TEXT(Table12[[#This Row],[Date]],"mmm-yy")</f>
        <v>Jun-25</v>
      </c>
      <c r="G90" s="270">
        <f t="shared" si="9"/>
        <v>30</v>
      </c>
      <c r="H90" s="272">
        <f t="shared" si="10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70"/>
      <c r="B91" s="270"/>
      <c r="C91" s="270">
        <f>YEAR(Table12[[#This Row],[Date]])</f>
        <v>2025</v>
      </c>
      <c r="D91" s="270"/>
      <c r="E91" s="270"/>
      <c r="F91" s="271" t="str">
        <f>TEXT(Table12[[#This Row],[Date]],"mmm-yy")</f>
        <v>Jun-25</v>
      </c>
      <c r="G91" s="270">
        <f t="shared" si="9"/>
        <v>30</v>
      </c>
      <c r="H91" s="272">
        <f t="shared" si="10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70"/>
      <c r="B92" s="270"/>
      <c r="C92" s="270">
        <f>YEAR(Table12[[#This Row],[Date]])</f>
        <v>2025</v>
      </c>
      <c r="D92" s="270"/>
      <c r="E92" s="270"/>
      <c r="F92" s="271" t="str">
        <f>TEXT(Table12[[#This Row],[Date]],"mmm-yy")</f>
        <v>Jun-25</v>
      </c>
      <c r="G92" s="270">
        <f t="shared" si="9"/>
        <v>30</v>
      </c>
      <c r="H92" s="272">
        <f t="shared" si="10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70"/>
      <c r="B93" s="270"/>
      <c r="C93" s="270">
        <f>YEAR(Table12[[#This Row],[Date]])</f>
        <v>2025</v>
      </c>
      <c r="D93" s="270"/>
      <c r="E93" s="270"/>
      <c r="F93" s="271" t="str">
        <f>TEXT(Table12[[#This Row],[Date]],"mmm-yy")</f>
        <v>Jun-25</v>
      </c>
      <c r="G93" s="270">
        <f t="shared" si="9"/>
        <v>30</v>
      </c>
      <c r="H93" s="272">
        <f t="shared" si="10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70"/>
      <c r="B94" s="270"/>
      <c r="C94" s="270">
        <f>YEAR(Table12[[#This Row],[Date]])</f>
        <v>2025</v>
      </c>
      <c r="D94" s="270"/>
      <c r="E94" s="270"/>
      <c r="F94" s="271" t="str">
        <f>TEXT(Table12[[#This Row],[Date]],"mmm-yy")</f>
        <v>Jun-25</v>
      </c>
      <c r="G94" s="270">
        <f t="shared" si="9"/>
        <v>30</v>
      </c>
      <c r="H94" s="272">
        <f t="shared" si="10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70"/>
      <c r="B95" s="270"/>
      <c r="C95" s="270">
        <f>YEAR(Table12[[#This Row],[Date]])</f>
        <v>2025</v>
      </c>
      <c r="D95" s="270"/>
      <c r="E95" s="270"/>
      <c r="F95" s="271" t="str">
        <f>TEXT(Table12[[#This Row],[Date]],"mmm-yy")</f>
        <v>Jun-25</v>
      </c>
      <c r="G95" s="270">
        <f t="shared" si="9"/>
        <v>30</v>
      </c>
      <c r="H95" s="272">
        <f t="shared" si="10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70"/>
      <c r="B96" s="270"/>
      <c r="C96" s="270">
        <f>YEAR(Table12[[#This Row],[Date]])</f>
        <v>2025</v>
      </c>
      <c r="D96" s="270"/>
      <c r="E96" s="270"/>
      <c r="F96" s="271" t="str">
        <f>TEXT(Table12[[#This Row],[Date]],"mmm-yy")</f>
        <v>Jun-25</v>
      </c>
      <c r="G96" s="270">
        <f t="shared" si="9"/>
        <v>30</v>
      </c>
      <c r="H96" s="272">
        <f t="shared" si="10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70"/>
      <c r="B97" s="270"/>
      <c r="C97" s="270">
        <f>YEAR(Table12[[#This Row],[Date]])</f>
        <v>2025</v>
      </c>
      <c r="D97" s="270"/>
      <c r="E97" s="270"/>
      <c r="F97" s="271" t="str">
        <f>TEXT(Table12[[#This Row],[Date]],"mmm-yy")</f>
        <v>Jun-25</v>
      </c>
      <c r="G97" s="270">
        <f t="shared" si="9"/>
        <v>30</v>
      </c>
      <c r="H97" s="272">
        <f t="shared" si="10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70"/>
      <c r="B98" s="270"/>
      <c r="C98" s="270">
        <f>YEAR(Table12[[#This Row],[Date]])</f>
        <v>2025</v>
      </c>
      <c r="D98" s="270"/>
      <c r="E98" s="270"/>
      <c r="F98" s="271" t="str">
        <f>TEXT(Table12[[#This Row],[Date]],"mmm-yy")</f>
        <v>Jul-25</v>
      </c>
      <c r="G98" s="270">
        <f t="shared" si="9"/>
        <v>31</v>
      </c>
      <c r="H98" s="272">
        <f t="shared" si="10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70"/>
      <c r="B99" s="270"/>
      <c r="C99" s="270">
        <f>YEAR(Table12[[#This Row],[Date]])</f>
        <v>2025</v>
      </c>
      <c r="D99" s="270"/>
      <c r="E99" s="270"/>
      <c r="F99" s="271" t="str">
        <f>TEXT(Table12[[#This Row],[Date]],"mmm-yy")</f>
        <v>Jul-25</v>
      </c>
      <c r="G99" s="270">
        <f t="shared" si="9"/>
        <v>31</v>
      </c>
      <c r="H99" s="272">
        <f t="shared" si="10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70"/>
      <c r="B100" s="270"/>
      <c r="C100" s="270">
        <f>YEAR(Table12[[#This Row],[Date]])</f>
        <v>2025</v>
      </c>
      <c r="D100" s="270"/>
      <c r="E100" s="270"/>
      <c r="F100" s="271" t="str">
        <f>TEXT(Table12[[#This Row],[Date]],"mmm-yy")</f>
        <v>Jul-25</v>
      </c>
      <c r="G100" s="270">
        <f t="shared" ref="G100:G131" si="11">DAY(EOMONTH(F100,0))</f>
        <v>31</v>
      </c>
      <c r="H100" s="272">
        <f t="shared" ref="H100:H131" si="12">H99+1</f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37" si="13">IFERROR(AVERAGEIF(V100:X100,"&gt;"&amp;0,V100:X100),"")</f>
        <v>2.2528473437544942</v>
      </c>
      <c r="Z100" s="1">
        <f t="shared" ref="Z100:Z137" si="14">MAXA(V100:X100)</f>
        <v>2.263861055444222</v>
      </c>
    </row>
    <row r="101" spans="1:26" x14ac:dyDescent="0.3">
      <c r="A101" s="270"/>
      <c r="B101" s="270"/>
      <c r="C101" s="270">
        <f>YEAR(Table12[[#This Row],[Date]])</f>
        <v>2025</v>
      </c>
      <c r="D101" s="270"/>
      <c r="E101" s="270"/>
      <c r="F101" s="271" t="str">
        <f>TEXT(Table12[[#This Row],[Date]],"mmm-yy")</f>
        <v>Jul-25</v>
      </c>
      <c r="G101" s="270">
        <f t="shared" si="11"/>
        <v>31</v>
      </c>
      <c r="H101" s="272">
        <f t="shared" si="12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70"/>
      <c r="B102" s="270"/>
      <c r="C102" s="270">
        <f>YEAR(Table12[[#This Row],[Date]])</f>
        <v>2025</v>
      </c>
      <c r="D102" s="270"/>
      <c r="E102" s="270"/>
      <c r="F102" s="271" t="str">
        <f>TEXT(Table12[[#This Row],[Date]],"mmm-yy")</f>
        <v>Jul-25</v>
      </c>
      <c r="G102" s="270">
        <f t="shared" si="11"/>
        <v>31</v>
      </c>
      <c r="H102" s="272">
        <f t="shared" si="12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70"/>
      <c r="B103" s="270"/>
      <c r="C103" s="270">
        <f>YEAR(Table12[[#This Row],[Date]])</f>
        <v>2025</v>
      </c>
      <c r="D103" s="270"/>
      <c r="E103" s="270"/>
      <c r="F103" s="271" t="str">
        <f>TEXT(Table12[[#This Row],[Date]],"mmm-yy")</f>
        <v>Jul-25</v>
      </c>
      <c r="G103" s="270">
        <f t="shared" si="11"/>
        <v>31</v>
      </c>
      <c r="H103" s="272">
        <f t="shared" si="12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70"/>
      <c r="B104" s="270"/>
      <c r="C104" s="270">
        <f>YEAR(Table12[[#This Row],[Date]])</f>
        <v>2025</v>
      </c>
      <c r="D104" s="270"/>
      <c r="E104" s="270"/>
      <c r="F104" s="271" t="str">
        <f>TEXT(Table12[[#This Row],[Date]],"mmm-yy")</f>
        <v>Jul-25</v>
      </c>
      <c r="G104" s="270">
        <f t="shared" si="11"/>
        <v>31</v>
      </c>
      <c r="H104" s="272">
        <f t="shared" si="12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70"/>
      <c r="B105" s="270"/>
      <c r="C105" s="270">
        <f>YEAR(Table12[[#This Row],[Date]])</f>
        <v>2025</v>
      </c>
      <c r="D105" s="270"/>
      <c r="E105" s="270"/>
      <c r="F105" s="271" t="str">
        <f>TEXT(Table12[[#This Row],[Date]],"mmm-yy")</f>
        <v>Jul-25</v>
      </c>
      <c r="G105" s="270">
        <f t="shared" si="11"/>
        <v>31</v>
      </c>
      <c r="H105" s="272">
        <f t="shared" si="12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70"/>
      <c r="B106" s="270"/>
      <c r="C106" s="270">
        <f>YEAR(Table12[[#This Row],[Date]])</f>
        <v>2025</v>
      </c>
      <c r="D106" s="270"/>
      <c r="E106" s="270"/>
      <c r="F106" s="271" t="str">
        <f>TEXT(Table12[[#This Row],[Date]],"mmm-yy")</f>
        <v>Jul-25</v>
      </c>
      <c r="G106" s="270">
        <f t="shared" si="11"/>
        <v>31</v>
      </c>
      <c r="H106" s="272">
        <f t="shared" si="12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70"/>
      <c r="B107" s="270"/>
      <c r="C107" s="270">
        <f>YEAR(Table12[[#This Row],[Date]])</f>
        <v>2025</v>
      </c>
      <c r="D107" s="270"/>
      <c r="E107" s="270"/>
      <c r="F107" s="271" t="str">
        <f>TEXT(Table12[[#This Row],[Date]],"mmm-yy")</f>
        <v>Jul-25</v>
      </c>
      <c r="G107" s="270">
        <f t="shared" si="11"/>
        <v>31</v>
      </c>
      <c r="H107" s="272">
        <f t="shared" si="12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70"/>
      <c r="B108" s="270"/>
      <c r="C108" s="270">
        <f>YEAR(Table12[[#This Row],[Date]])</f>
        <v>2025</v>
      </c>
      <c r="D108" s="270"/>
      <c r="E108" s="270"/>
      <c r="F108" s="271" t="str">
        <f>TEXT(Table12[[#This Row],[Date]],"mmm-yy")</f>
        <v>Jul-25</v>
      </c>
      <c r="G108" s="270">
        <f t="shared" si="11"/>
        <v>31</v>
      </c>
      <c r="H108" s="272">
        <f t="shared" si="12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70"/>
      <c r="B109" s="270"/>
      <c r="C109" s="270">
        <f>YEAR(Table12[[#This Row],[Date]])</f>
        <v>2025</v>
      </c>
      <c r="D109" s="270"/>
      <c r="E109" s="270"/>
      <c r="F109" s="271" t="str">
        <f>TEXT(Table12[[#This Row],[Date]],"mmm-yy")</f>
        <v>Jul-25</v>
      </c>
      <c r="G109" s="270">
        <f t="shared" si="11"/>
        <v>31</v>
      </c>
      <c r="H109" s="272">
        <f t="shared" si="12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70"/>
      <c r="B110" s="270"/>
      <c r="C110" s="270">
        <f>YEAR(Table12[[#This Row],[Date]])</f>
        <v>2025</v>
      </c>
      <c r="D110" s="270"/>
      <c r="E110" s="270"/>
      <c r="F110" s="271" t="str">
        <f>TEXT(Table12[[#This Row],[Date]],"mmm-yy")</f>
        <v>Jul-25</v>
      </c>
      <c r="G110" s="270">
        <f t="shared" si="11"/>
        <v>31</v>
      </c>
      <c r="H110" s="272">
        <f t="shared" si="12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70"/>
      <c r="B111" s="270"/>
      <c r="C111" s="270">
        <f>YEAR(Table12[[#This Row],[Date]])</f>
        <v>2025</v>
      </c>
      <c r="D111" s="270"/>
      <c r="E111" s="270"/>
      <c r="F111" s="271" t="str">
        <f>TEXT(Table12[[#This Row],[Date]],"mmm-yy")</f>
        <v>Jul-25</v>
      </c>
      <c r="G111" s="270">
        <f t="shared" si="11"/>
        <v>31</v>
      </c>
      <c r="H111" s="272">
        <f t="shared" si="12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70"/>
      <c r="B112" s="270"/>
      <c r="C112" s="270">
        <f>YEAR(Table12[[#This Row],[Date]])</f>
        <v>2025</v>
      </c>
      <c r="D112" s="270"/>
      <c r="E112" s="270"/>
      <c r="F112" s="271" t="str">
        <f>TEXT(Table12[[#This Row],[Date]],"mmm-yy")</f>
        <v>Jul-25</v>
      </c>
      <c r="G112" s="270">
        <f t="shared" si="11"/>
        <v>31</v>
      </c>
      <c r="H112" s="272">
        <f t="shared" si="12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70"/>
      <c r="B113" s="270"/>
      <c r="C113" s="270">
        <f>YEAR(Table12[[#This Row],[Date]])</f>
        <v>2025</v>
      </c>
      <c r="D113" s="270"/>
      <c r="E113" s="270"/>
      <c r="F113" s="271" t="str">
        <f>TEXT(Table12[[#This Row],[Date]],"mmm-yy")</f>
        <v>Jul-25</v>
      </c>
      <c r="G113" s="270">
        <f t="shared" si="11"/>
        <v>31</v>
      </c>
      <c r="H113" s="272">
        <f t="shared" si="12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70"/>
      <c r="B114" s="270"/>
      <c r="C114" s="270">
        <f>YEAR(Table12[[#This Row],[Date]])</f>
        <v>2025</v>
      </c>
      <c r="D114" s="270"/>
      <c r="E114" s="270"/>
      <c r="F114" s="271" t="str">
        <f>TEXT(Table12[[#This Row],[Date]],"mmm-yy")</f>
        <v>Jul-25</v>
      </c>
      <c r="G114" s="270">
        <f t="shared" si="11"/>
        <v>31</v>
      </c>
      <c r="H114" s="272">
        <f t="shared" si="12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70"/>
      <c r="B115" s="270"/>
      <c r="C115" s="270">
        <f>YEAR(Table12[[#This Row],[Date]])</f>
        <v>2025</v>
      </c>
      <c r="D115" s="270"/>
      <c r="E115" s="270"/>
      <c r="F115" s="271" t="str">
        <f>TEXT(Table12[[#This Row],[Date]],"mmm-yy")</f>
        <v>Jul-25</v>
      </c>
      <c r="G115" s="270">
        <f t="shared" si="11"/>
        <v>31</v>
      </c>
      <c r="H115" s="272">
        <f t="shared" si="12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70"/>
      <c r="B116" s="270"/>
      <c r="C116" s="270">
        <f>YEAR(Table12[[#This Row],[Date]])</f>
        <v>2025</v>
      </c>
      <c r="D116" s="270"/>
      <c r="E116" s="270"/>
      <c r="F116" s="271" t="str">
        <f>TEXT(Table12[[#This Row],[Date]],"mmm-yy")</f>
        <v>Jul-25</v>
      </c>
      <c r="G116" s="270">
        <f t="shared" si="11"/>
        <v>31</v>
      </c>
      <c r="H116" s="272">
        <f t="shared" si="12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70"/>
      <c r="B117" s="270"/>
      <c r="C117" s="270">
        <f>YEAR(Table12[[#This Row],[Date]])</f>
        <v>2025</v>
      </c>
      <c r="D117" s="270"/>
      <c r="E117" s="270"/>
      <c r="F117" s="271" t="str">
        <f>TEXT(Table12[[#This Row],[Date]],"mmm-yy")</f>
        <v>Jul-25</v>
      </c>
      <c r="G117" s="270">
        <f t="shared" si="11"/>
        <v>31</v>
      </c>
      <c r="H117" s="272">
        <f t="shared" si="12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70"/>
      <c r="B118" s="270"/>
      <c r="C118" s="270">
        <f>YEAR(Table12[[#This Row],[Date]])</f>
        <v>2025</v>
      </c>
      <c r="D118" s="270"/>
      <c r="E118" s="270"/>
      <c r="F118" s="271" t="str">
        <f>TEXT(Table12[[#This Row],[Date]],"mmm-yy")</f>
        <v>Jul-25</v>
      </c>
      <c r="G118" s="270">
        <f t="shared" si="11"/>
        <v>31</v>
      </c>
      <c r="H118" s="272">
        <f t="shared" si="12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70"/>
      <c r="B119" s="270"/>
      <c r="C119" s="270">
        <f>YEAR(Table12[[#This Row],[Date]])</f>
        <v>2025</v>
      </c>
      <c r="D119" s="270"/>
      <c r="E119" s="270"/>
      <c r="F119" s="271" t="str">
        <f>TEXT(Table12[[#This Row],[Date]],"mmm-yy")</f>
        <v>Jul-25</v>
      </c>
      <c r="G119" s="270">
        <f t="shared" si="11"/>
        <v>31</v>
      </c>
      <c r="H119" s="272">
        <f t="shared" si="12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70"/>
      <c r="B120" s="270"/>
      <c r="C120" s="270">
        <f>YEAR(Table12[[#This Row],[Date]])</f>
        <v>2025</v>
      </c>
      <c r="D120" s="270"/>
      <c r="E120" s="270"/>
      <c r="F120" s="271" t="str">
        <f>TEXT(Table12[[#This Row],[Date]],"mmm-yy")</f>
        <v>Jul-25</v>
      </c>
      <c r="G120" s="270">
        <f t="shared" si="11"/>
        <v>31</v>
      </c>
      <c r="H120" s="272">
        <f t="shared" si="12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70"/>
      <c r="B121" s="270"/>
      <c r="C121" s="270">
        <f>YEAR(Table12[[#This Row],[Date]])</f>
        <v>2025</v>
      </c>
      <c r="D121" s="270"/>
      <c r="E121" s="270"/>
      <c r="F121" s="271" t="str">
        <f>TEXT(Table12[[#This Row],[Date]],"mmm-yy")</f>
        <v>Jul-25</v>
      </c>
      <c r="G121" s="270">
        <f t="shared" si="11"/>
        <v>31</v>
      </c>
      <c r="H121" s="272">
        <f t="shared" si="12"/>
        <v>45862</v>
      </c>
      <c r="I121" s="1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70"/>
      <c r="B122" s="270"/>
      <c r="C122" s="270">
        <f>YEAR(Table12[[#This Row],[Date]])</f>
        <v>2025</v>
      </c>
      <c r="D122" s="270"/>
      <c r="E122" s="270"/>
      <c r="F122" s="271" t="str">
        <f>TEXT(Table12[[#This Row],[Date]],"mmm-yy")</f>
        <v>Jul-25</v>
      </c>
      <c r="G122" s="270">
        <f t="shared" si="11"/>
        <v>31</v>
      </c>
      <c r="H122" s="272">
        <f t="shared" si="12"/>
        <v>45863</v>
      </c>
      <c r="I122" s="1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70"/>
      <c r="B123" s="270"/>
      <c r="C123" s="270">
        <f>YEAR(Table12[[#This Row],[Date]])</f>
        <v>2025</v>
      </c>
      <c r="D123" s="270"/>
      <c r="E123" s="270"/>
      <c r="F123" s="271" t="str">
        <f>TEXT(Table12[[#This Row],[Date]],"mmm-yy")</f>
        <v>Jul-25</v>
      </c>
      <c r="G123" s="270">
        <f t="shared" si="11"/>
        <v>31</v>
      </c>
      <c r="H123" s="272">
        <f t="shared" si="12"/>
        <v>45864</v>
      </c>
      <c r="I123" s="1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3"/>
        <v>1.0333604265213701</v>
      </c>
      <c r="Z123" s="1">
        <f t="shared" si="14"/>
        <v>1.1812650714153219</v>
      </c>
    </row>
    <row r="124" spans="1:26" x14ac:dyDescent="0.3">
      <c r="A124" s="270"/>
      <c r="B124" s="270"/>
      <c r="C124" s="270">
        <f>YEAR(Table12[[#This Row],[Date]])</f>
        <v>2025</v>
      </c>
      <c r="D124" s="270"/>
      <c r="E124" s="270"/>
      <c r="F124" s="271" t="str">
        <f>TEXT(Table12[[#This Row],[Date]],"mmm-yy")</f>
        <v>Jul-25</v>
      </c>
      <c r="G124" s="270">
        <f t="shared" si="11"/>
        <v>31</v>
      </c>
      <c r="H124" s="272">
        <f t="shared" si="12"/>
        <v>45865</v>
      </c>
      <c r="I124" s="1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3"/>
        <v>2.8254890600339846</v>
      </c>
      <c r="Z124" s="1">
        <f t="shared" si="14"/>
        <v>2.9143016138007787</v>
      </c>
    </row>
    <row r="125" spans="1:26" x14ac:dyDescent="0.3">
      <c r="A125" s="270"/>
      <c r="B125" s="270"/>
      <c r="C125" s="270">
        <f>YEAR(Table12[[#This Row],[Date]])</f>
        <v>2025</v>
      </c>
      <c r="D125" s="270"/>
      <c r="E125" s="270"/>
      <c r="F125" s="271" t="str">
        <f>TEXT(Table12[[#This Row],[Date]],"mmm-yy")</f>
        <v>Jul-25</v>
      </c>
      <c r="G125" s="270">
        <f t="shared" si="11"/>
        <v>31</v>
      </c>
      <c r="H125" s="272">
        <f t="shared" si="12"/>
        <v>45866</v>
      </c>
      <c r="I125" s="1">
        <v>8.0208999999999993</v>
      </c>
      <c r="J125" s="1">
        <f>'Raw Data'!K125/Inv_SY!J$2</f>
        <v>4.6965352449223419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13"/>
        <v>3.5216243308488466</v>
      </c>
      <c r="Z125" s="1">
        <f t="shared" si="14"/>
        <v>3.6285290298645894</v>
      </c>
    </row>
    <row r="126" spans="1:26" x14ac:dyDescent="0.3">
      <c r="A126" s="270"/>
      <c r="B126" s="270"/>
      <c r="C126" s="270">
        <f>YEAR(Table12[[#This Row],[Date]])</f>
        <v>2025</v>
      </c>
      <c r="D126" s="270"/>
      <c r="E126" s="270"/>
      <c r="F126" s="271" t="str">
        <f>TEXT(Table12[[#This Row],[Date]],"mmm-yy")</f>
        <v>Jul-25</v>
      </c>
      <c r="G126" s="270">
        <f t="shared" si="11"/>
        <v>31</v>
      </c>
      <c r="H126" s="272">
        <f t="shared" si="12"/>
        <v>45867</v>
      </c>
      <c r="I126" s="1">
        <v>8.0208999999999993</v>
      </c>
      <c r="J126" s="1">
        <f>'Raw Data'!K126/Inv_SY!J$2</f>
        <v>4.7888291517323776</v>
      </c>
      <c r="K126" s="1">
        <f>'Raw Data'!L126/Inv_SY!K$2</f>
        <v>4.7841995221027478</v>
      </c>
      <c r="L126" s="1">
        <f>'Raw Data'!M126/Inv_SY!L$2</f>
        <v>0</v>
      </c>
      <c r="M126" s="1">
        <f>'Raw Data'!N126/Inv_SY!M$2</f>
        <v>4.8327454438565551</v>
      </c>
      <c r="N126" s="1">
        <f>'Raw Data'!O126/Inv_SY!N$2</f>
        <v>4.6338797814207657</v>
      </c>
      <c r="O126" s="1">
        <f>'Raw Data'!P126/Inv_SY!O$2</f>
        <v>4.6036733454766248</v>
      </c>
      <c r="P126" s="1">
        <f>'Raw Data'!Q126/Inv_SY!P$2</f>
        <v>4.777322404371585</v>
      </c>
      <c r="Q126" s="1">
        <f>'Raw Data'!R126/Inv_SY!Q$2</f>
        <v>0</v>
      </c>
      <c r="R126" s="1">
        <f>'Raw Data'!S126/Inv_SY!R$2</f>
        <v>3.6641062284149104</v>
      </c>
      <c r="S126" s="1">
        <f>'Raw Data'!T126/Inv_SY!S$2</f>
        <v>3.7370713119216119</v>
      </c>
      <c r="T126" s="1">
        <f>'Raw Data'!U126/Inv_SY!T$2</f>
        <v>3.6178754190929943</v>
      </c>
      <c r="U126" s="1">
        <f>'Raw Data'!V126/Inv_SY!U$2</f>
        <v>3.7172813363919768</v>
      </c>
      <c r="V126" s="1">
        <f>'Raw Data'!W126/Inv_SY!V$2</f>
        <v>3.5991612855340307</v>
      </c>
      <c r="W126" s="1">
        <f>'Raw Data'!X126/Inv_SY!W$2</f>
        <v>3.5095788353352591</v>
      </c>
      <c r="X126" s="1">
        <f>'Raw Data'!Y126/Inv_SY!X$2</f>
        <v>3.6805787423483585</v>
      </c>
      <c r="Y126" s="1">
        <f t="shared" si="13"/>
        <v>3.5964396210725496</v>
      </c>
      <c r="Z126" s="1">
        <f t="shared" si="14"/>
        <v>3.6805787423483585</v>
      </c>
    </row>
    <row r="127" spans="1:26" x14ac:dyDescent="0.3">
      <c r="A127" s="270"/>
      <c r="B127" s="270"/>
      <c r="C127" s="270">
        <f>YEAR(Table12[[#This Row],[Date]])</f>
        <v>2025</v>
      </c>
      <c r="D127" s="270"/>
      <c r="E127" s="270"/>
      <c r="F127" s="271" t="str">
        <f>TEXT(Table12[[#This Row],[Date]],"mmm-yy")</f>
        <v>Jul-25</v>
      </c>
      <c r="G127" s="270">
        <f t="shared" si="11"/>
        <v>31</v>
      </c>
      <c r="H127" s="272">
        <f t="shared" si="12"/>
        <v>45868</v>
      </c>
      <c r="I127" s="1">
        <v>8.0208999999999993</v>
      </c>
      <c r="J127" s="1">
        <f>'Raw Data'!K127/Inv_SY!J$2</f>
        <v>3.5936379928315412</v>
      </c>
      <c r="K127" s="1">
        <f>'Raw Data'!L127/Inv_SY!K$2</f>
        <v>3.4728195937873356</v>
      </c>
      <c r="L127" s="1">
        <f>'Raw Data'!M127/Inv_SY!L$2</f>
        <v>0</v>
      </c>
      <c r="M127" s="1">
        <f>'Raw Data'!N127/Inv_SY!M$2</f>
        <v>3.3443562610229276</v>
      </c>
      <c r="N127" s="1">
        <f>'Raw Data'!O127/Inv_SY!N$2</f>
        <v>3.5701275045537342</v>
      </c>
      <c r="O127" s="1">
        <f>'Raw Data'!P127/Inv_SY!O$2</f>
        <v>3.3617182756527018</v>
      </c>
      <c r="P127" s="1">
        <f>'Raw Data'!Q127/Inv_SY!P$2</f>
        <v>3.3595931997571347</v>
      </c>
      <c r="Q127" s="1">
        <f>'Raw Data'!R127/Inv_SY!Q$2</f>
        <v>0</v>
      </c>
      <c r="R127" s="1">
        <f>'Raw Data'!S127/Inv_SY!R$2</f>
        <v>2.8711146838156485</v>
      </c>
      <c r="S127" s="1">
        <f>'Raw Data'!T127/Inv_SY!S$2</f>
        <v>2.664217020504446</v>
      </c>
      <c r="T127" s="1">
        <f>'Raw Data'!U127/Inv_SY!T$2</f>
        <v>2.6667548967707777</v>
      </c>
      <c r="U127" s="1">
        <f>'Raw Data'!V127/Inv_SY!U$2</f>
        <v>2.6520498794188576</v>
      </c>
      <c r="V127" s="1">
        <f>'Raw Data'!W127/Inv_SY!V$2</f>
        <v>2.6004601796184965</v>
      </c>
      <c r="W127" s="1">
        <f>'Raw Data'!X127/Inv_SY!W$2</f>
        <v>2.5771628402006992</v>
      </c>
      <c r="X127" s="1">
        <f>'Raw Data'!Y127/Inv_SY!X$2</f>
        <v>2.7110369133741421</v>
      </c>
      <c r="Y127" s="1">
        <f t="shared" si="13"/>
        <v>2.6295533110644462</v>
      </c>
      <c r="Z127" s="1">
        <f t="shared" si="14"/>
        <v>2.7110369133741421</v>
      </c>
    </row>
    <row r="128" spans="1:26" x14ac:dyDescent="0.3">
      <c r="A128" s="270"/>
      <c r="B128" s="270"/>
      <c r="C128" s="270">
        <f>YEAR(Table12[[#This Row],[Date]])</f>
        <v>2025</v>
      </c>
      <c r="D128" s="270"/>
      <c r="E128" s="270"/>
      <c r="F128" s="271" t="str">
        <f>TEXT(Table12[[#This Row],[Date]],"mmm-yy")</f>
        <v>Jul-25</v>
      </c>
      <c r="G128" s="270">
        <f t="shared" si="11"/>
        <v>31</v>
      </c>
      <c r="H128" s="272">
        <f t="shared" si="12"/>
        <v>45869</v>
      </c>
      <c r="I128" s="1">
        <v>8.0208999999999993</v>
      </c>
      <c r="J128" s="1">
        <f>'Raw Data'!K128/Inv_SY!J$2</f>
        <v>4.9644563918757463</v>
      </c>
      <c r="K128" s="1">
        <f>'Raw Data'!L128/Inv_SY!K$2</f>
        <v>5.0456989247311821</v>
      </c>
      <c r="L128" s="1">
        <f>'Raw Data'!M128/Inv_SY!L$2</f>
        <v>0</v>
      </c>
      <c r="M128" s="1">
        <f>'Raw Data'!N128/Inv_SY!M$2</f>
        <v>4.8906525573192239</v>
      </c>
      <c r="N128" s="1">
        <f>'Raw Data'!O128/Inv_SY!N$2</f>
        <v>4.8969338190649667</v>
      </c>
      <c r="O128" s="1">
        <f>'Raw Data'!P128/Inv_SY!O$2</f>
        <v>4.9517304189435336</v>
      </c>
      <c r="P128" s="1">
        <f>'Raw Data'!Q128/Inv_SY!P$2</f>
        <v>4.8688524590163933</v>
      </c>
      <c r="Q128" s="1">
        <f>'Raw Data'!R128/Inv_SY!Q$2</f>
        <v>0</v>
      </c>
      <c r="R128" s="1">
        <f>'Raw Data'!S128/Inv_SY!R$2</f>
        <v>3.8943968083839464</v>
      </c>
      <c r="S128" s="1">
        <f>'Raw Data'!T128/Inv_SY!S$2</f>
        <v>4.0624810984092425</v>
      </c>
      <c r="T128" s="1">
        <f>'Raw Data'!U128/Inv_SY!T$2</f>
        <v>3.8441856361390498</v>
      </c>
      <c r="U128" s="1">
        <f>'Raw Data'!V128/Inv_SY!U$2</f>
        <v>3.8206576083759773</v>
      </c>
      <c r="V128" s="1">
        <f>'Raw Data'!W128/Inv_SY!V$2</f>
        <v>3.7224077785200032</v>
      </c>
      <c r="W128" s="1">
        <f>'Raw Data'!X128/Inv_SY!W$2</f>
        <v>3.6855329177436515</v>
      </c>
      <c r="X128" s="1">
        <f>'Raw Data'!Y128/Inv_SY!X$2</f>
        <v>3.900983120014839</v>
      </c>
      <c r="Y128" s="1">
        <f t="shared" si="13"/>
        <v>3.7696412720928314</v>
      </c>
      <c r="Z128" s="1">
        <f t="shared" si="14"/>
        <v>3.900983120014839</v>
      </c>
    </row>
    <row r="129" spans="1:26" x14ac:dyDescent="0.3">
      <c r="A129" s="270"/>
      <c r="B129" s="270"/>
      <c r="C129" s="270">
        <f>YEAR(Table12[[#This Row],[Date]])</f>
        <v>2025</v>
      </c>
      <c r="D129" s="270"/>
      <c r="E129" s="270"/>
      <c r="F129" s="271" t="str">
        <f>TEXT(Table12[[#This Row],[Date]],"mmm-yy")</f>
        <v>Aug-25</v>
      </c>
      <c r="G129" s="270">
        <f t="shared" si="11"/>
        <v>31</v>
      </c>
      <c r="H129" s="272">
        <f t="shared" si="12"/>
        <v>45870</v>
      </c>
      <c r="I129" s="1">
        <v>8.0208999999999993</v>
      </c>
      <c r="J129" s="1">
        <f>'Raw Data'!K129/Inv_SY!J$2</f>
        <v>6.1499402628434883</v>
      </c>
      <c r="K129" s="1">
        <f>'Raw Data'!L129/Inv_SY!K$2</f>
        <v>6.1479988052568695</v>
      </c>
      <c r="L129" s="1">
        <f>'Raw Data'!M129/Inv_SY!L$2</f>
        <v>0</v>
      </c>
      <c r="M129" s="1">
        <f>'Raw Data'!N129/Inv_SY!M$2</f>
        <v>6.170487948265726</v>
      </c>
      <c r="N129" s="1">
        <f>'Raw Data'!O129/Inv_SY!N$2</f>
        <v>6.0295992714025504</v>
      </c>
      <c r="O129" s="1">
        <f>'Raw Data'!P129/Inv_SY!O$2</f>
        <v>5.9858834244080148</v>
      </c>
      <c r="P129" s="1">
        <f>'Raw Data'!Q129/Inv_SY!P$2</f>
        <v>6.1329690346083794</v>
      </c>
      <c r="Q129" s="1">
        <f>'Raw Data'!R129/Inv_SY!Q$2</f>
        <v>0</v>
      </c>
      <c r="R129" s="1">
        <f>'Raw Data'!S129/Inv_SY!R$2</f>
        <v>4.7956115279266402</v>
      </c>
      <c r="S129" s="1">
        <f>'Raw Data'!T129/Inv_SY!S$2</f>
        <v>4.8900683481521812</v>
      </c>
      <c r="T129" s="1">
        <f>'Raw Data'!U129/Inv_SY!T$2</f>
        <v>4.8475089700605842</v>
      </c>
      <c r="U129" s="1">
        <f>'Raw Data'!V129/Inv_SY!U$2</f>
        <v>4.7023704487971294</v>
      </c>
      <c r="V129" s="1">
        <f>'Raw Data'!W129/Inv_SY!V$2</f>
        <v>4.6140800118756031</v>
      </c>
      <c r="W129" s="1">
        <f>'Raw Data'!X129/Inv_SY!W$2</f>
        <v>4.5447012315645434</v>
      </c>
      <c r="X129" s="1">
        <f>'Raw Data'!Y129/Inv_SY!X$2</f>
        <v>4.8041921721387499</v>
      </c>
      <c r="Y129" s="1">
        <f t="shared" si="13"/>
        <v>4.6543244718596322</v>
      </c>
      <c r="Z129" s="1">
        <f t="shared" si="14"/>
        <v>4.8041921721387499</v>
      </c>
    </row>
    <row r="130" spans="1:26" x14ac:dyDescent="0.3">
      <c r="A130" s="270"/>
      <c r="B130" s="270"/>
      <c r="C130" s="270">
        <f>YEAR(Table12[[#This Row],[Date]])</f>
        <v>2025</v>
      </c>
      <c r="D130" s="270"/>
      <c r="E130" s="270"/>
      <c r="F130" s="271" t="str">
        <f>TEXT(Table12[[#This Row],[Date]],"mmm-yy")</f>
        <v>Aug-25</v>
      </c>
      <c r="G130" s="270">
        <f t="shared" si="11"/>
        <v>31</v>
      </c>
      <c r="H130" s="272">
        <f t="shared" si="12"/>
        <v>45871</v>
      </c>
      <c r="I130" s="1">
        <v>8.0208999999999993</v>
      </c>
      <c r="J130" s="1">
        <f>'Raw Data'!K130/Inv_SY!J$2</f>
        <v>5.9904420549581836</v>
      </c>
      <c r="K130" s="1">
        <f>'Raw Data'!L130/Inv_SY!K$2</f>
        <v>5.8490143369175627</v>
      </c>
      <c r="L130" s="1">
        <f>'Raw Data'!M130/Inv_SY!L$2</f>
        <v>0</v>
      </c>
      <c r="M130" s="1">
        <f>'Raw Data'!N130/Inv_SY!M$2</f>
        <v>5.7602880658436222</v>
      </c>
      <c r="N130" s="1">
        <f>'Raw Data'!O130/Inv_SY!N$2</f>
        <v>5.8727990285367335</v>
      </c>
      <c r="O130" s="1">
        <f>'Raw Data'!P130/Inv_SY!O$2</f>
        <v>5.6901942926533096</v>
      </c>
      <c r="P130" s="1">
        <f>'Raw Data'!Q130/Inv_SY!P$2</f>
        <v>5.7026411657559199</v>
      </c>
      <c r="Q130" s="1">
        <f>'Raw Data'!R130/Inv_SY!Q$2</f>
        <v>0</v>
      </c>
      <c r="R130" s="1">
        <f>'Raw Data'!S130/Inv_SY!R$2</f>
        <v>4.4384899368822195</v>
      </c>
      <c r="S130" s="1">
        <f>'Raw Data'!T130/Inv_SY!S$2</f>
        <v>4.5241335510796592</v>
      </c>
      <c r="T130" s="1">
        <f>'Raw Data'!U130/Inv_SY!T$2</f>
        <v>4.3798894182695127</v>
      </c>
      <c r="U130" s="1">
        <f>'Raw Data'!V130/Inv_SY!U$2</f>
        <v>4.4816481383448021</v>
      </c>
      <c r="V130" s="1">
        <f>'Raw Data'!W130/Inv_SY!V$2</f>
        <v>4.3965709196170115</v>
      </c>
      <c r="W130" s="1">
        <f>'Raw Data'!X130/Inv_SY!W$2</f>
        <v>4.3236277938269723</v>
      </c>
      <c r="X130" s="1">
        <f>'Raw Data'!Y130/Inv_SY!X$2</f>
        <v>4.4517529215358937</v>
      </c>
      <c r="Y130" s="1">
        <f t="shared" si="13"/>
        <v>4.3906505449932931</v>
      </c>
      <c r="Z130" s="1">
        <f t="shared" si="14"/>
        <v>4.4517529215358937</v>
      </c>
    </row>
    <row r="131" spans="1:26" x14ac:dyDescent="0.3">
      <c r="A131" s="270"/>
      <c r="B131" s="270"/>
      <c r="C131" s="270">
        <f>YEAR(Table12[[#This Row],[Date]])</f>
        <v>2025</v>
      </c>
      <c r="D131" s="270"/>
      <c r="E131" s="270"/>
      <c r="F131" s="271" t="str">
        <f>TEXT(Table12[[#This Row],[Date]],"mmm-yy")</f>
        <v>Aug-25</v>
      </c>
      <c r="G131" s="270">
        <f t="shared" si="11"/>
        <v>31</v>
      </c>
      <c r="H131" s="272">
        <f t="shared" si="12"/>
        <v>45872</v>
      </c>
      <c r="I131" s="1">
        <v>8.0208999999999993</v>
      </c>
      <c r="J131" s="1">
        <f>'Raw Data'!K131/Inv_SY!J$2</f>
        <v>4.9290621266427719</v>
      </c>
      <c r="K131" s="1">
        <f>'Raw Data'!L131/Inv_SY!K$2</f>
        <v>5.0146356033452806</v>
      </c>
      <c r="L131" s="1">
        <f>'Raw Data'!M131/Inv_SY!L$2</f>
        <v>0</v>
      </c>
      <c r="M131" s="1">
        <f>'Raw Data'!N131/Inv_SY!M$2</f>
        <v>4.8530276308054088</v>
      </c>
      <c r="N131" s="1">
        <f>'Raw Data'!O131/Inv_SY!N$2</f>
        <v>4.8101092896174871</v>
      </c>
      <c r="O131" s="1">
        <f>'Raw Data'!P131/Inv_SY!O$2</f>
        <v>4.8688524590163933</v>
      </c>
      <c r="P131" s="1">
        <f>'Raw Data'!Q131/Inv_SY!P$2</f>
        <v>4.780206435944141</v>
      </c>
      <c r="Q131" s="1">
        <f>'Raw Data'!R131/Inv_SY!Q$2</f>
        <v>0</v>
      </c>
      <c r="R131" s="1">
        <f>'Raw Data'!S131/Inv_SY!R$2</f>
        <v>3.8113314278909138</v>
      </c>
      <c r="S131" s="1">
        <f>'Raw Data'!T131/Inv_SY!S$2</f>
        <v>3.7975564023468218</v>
      </c>
      <c r="T131" s="1">
        <f>'Raw Data'!U131/Inv_SY!T$2</f>
        <v>3.6768425386741952</v>
      </c>
      <c r="U131" s="1">
        <f>'Raw Data'!V131/Inv_SY!U$2</f>
        <v>3.6550791129933526</v>
      </c>
      <c r="V131" s="1">
        <f>'Raw Data'!W131/Inv_SY!V$2</f>
        <v>3.6963927855711423</v>
      </c>
      <c r="W131" s="1">
        <f>'Raw Data'!X131/Inv_SY!W$2</f>
        <v>3.6208377679793218</v>
      </c>
      <c r="X131" s="1">
        <f>'Raw Data'!Y131/Inv_SY!X$2</f>
        <v>3.7312928955666855</v>
      </c>
      <c r="Y131" s="1">
        <f t="shared" si="13"/>
        <v>3.6828411497057165</v>
      </c>
      <c r="Z131" s="1">
        <f t="shared" si="14"/>
        <v>3.7312928955666855</v>
      </c>
    </row>
    <row r="132" spans="1:26" x14ac:dyDescent="0.3">
      <c r="A132" s="270"/>
      <c r="B132" s="270"/>
      <c r="C132" s="270">
        <f>YEAR(Table12[[#This Row],[Date]])</f>
        <v>2025</v>
      </c>
      <c r="D132" s="270"/>
      <c r="E132" s="270"/>
      <c r="F132" s="271" t="str">
        <f>TEXT(Table12[[#This Row],[Date]],"mmm-yy")</f>
        <v>Aug-25</v>
      </c>
      <c r="G132" s="270">
        <f t="shared" ref="G132:G163" si="15">DAY(EOMONTH(F132,0))</f>
        <v>31</v>
      </c>
      <c r="H132" s="272">
        <f t="shared" ref="H132:H137" si="16">H131+1</f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70"/>
      <c r="B133" s="270"/>
      <c r="C133" s="270">
        <f>YEAR(Table12[[#This Row],[Date]])</f>
        <v>2025</v>
      </c>
      <c r="D133" s="270"/>
      <c r="E133" s="270"/>
      <c r="F133" s="271" t="str">
        <f>TEXT(Table12[[#This Row],[Date]],"mmm-yy")</f>
        <v>Aug-25</v>
      </c>
      <c r="G133" s="270">
        <f t="shared" si="15"/>
        <v>31</v>
      </c>
      <c r="H133" s="272">
        <f t="shared" si="16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70"/>
      <c r="B134" s="270"/>
      <c r="C134" s="270">
        <f>YEAR(Table12[[#This Row],[Date]])</f>
        <v>2025</v>
      </c>
      <c r="D134" s="270"/>
      <c r="E134" s="270"/>
      <c r="F134" s="271" t="str">
        <f>TEXT(Table12[[#This Row],[Date]],"mmm-yy")</f>
        <v>Aug-25</v>
      </c>
      <c r="G134" s="270">
        <f t="shared" si="15"/>
        <v>31</v>
      </c>
      <c r="H134" s="272">
        <f t="shared" si="16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70"/>
      <c r="B135" s="270"/>
      <c r="C135" s="270">
        <f>YEAR(Table12[[#This Row],[Date]])</f>
        <v>2025</v>
      </c>
      <c r="D135" s="270"/>
      <c r="E135" s="270"/>
      <c r="F135" s="271" t="str">
        <f>TEXT(Table12[[#This Row],[Date]],"mmm-yy")</f>
        <v>Aug-25</v>
      </c>
      <c r="G135" s="270">
        <f t="shared" si="15"/>
        <v>31</v>
      </c>
      <c r="H135" s="272">
        <f t="shared" si="16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70"/>
      <c r="B136" s="270"/>
      <c r="C136" s="270">
        <f>YEAR(Table12[[#This Row],[Date]])</f>
        <v>2025</v>
      </c>
      <c r="D136" s="270"/>
      <c r="E136" s="270"/>
      <c r="F136" s="271" t="str">
        <f>TEXT(Table12[[#This Row],[Date]],"mmm-yy")</f>
        <v>Aug-25</v>
      </c>
      <c r="G136" s="270">
        <f t="shared" si="15"/>
        <v>31</v>
      </c>
      <c r="H136" s="272">
        <f t="shared" si="16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70"/>
      <c r="B137" s="270"/>
      <c r="C137" s="270">
        <f>YEAR(Table12[[#This Row],[Date]])</f>
        <v>2025</v>
      </c>
      <c r="D137" s="270"/>
      <c r="E137" s="270"/>
      <c r="F137" s="271" t="str">
        <f>TEXT(Table12[[#This Row],[Date]],"mmm-yy")</f>
        <v>Aug-25</v>
      </c>
      <c r="G137" s="270">
        <f t="shared" si="15"/>
        <v>31</v>
      </c>
      <c r="H137" s="272">
        <f t="shared" si="16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M258"/>
  <sheetViews>
    <sheetView tabSelected="1" zoomScaleNormal="100" workbookViewId="0">
      <pane xSplit="8" ySplit="1" topLeftCell="AB115" activePane="bottomRight" state="frozen"/>
      <selection pane="topRight" activeCell="I1" sqref="I1"/>
      <selection pane="bottomLeft" activeCell="A2" sqref="A2"/>
      <selection pane="bottomRight" activeCell="AC131" sqref="AC131"/>
    </sheetView>
  </sheetViews>
  <sheetFormatPr defaultRowHeight="14.4" x14ac:dyDescent="0.3"/>
  <cols>
    <col min="1" max="2" width="11.21875" customWidth="1"/>
    <col min="3" max="3" width="12.44140625" customWidth="1"/>
    <col min="4" max="4" width="14.21875" customWidth="1"/>
    <col min="5" max="5" width="13" customWidth="1"/>
    <col min="6" max="6" width="10.77734375" customWidth="1"/>
    <col min="7" max="7" width="9.21875" customWidth="1"/>
    <col min="8" max="8" width="10.21875" bestFit="1" customWidth="1"/>
    <col min="9" max="9" width="18.44140625" style="2" customWidth="1"/>
    <col min="10" max="10" width="9.5546875" customWidth="1"/>
    <col min="11" max="15" width="8.77734375" customWidth="1"/>
    <col min="16" max="16" width="8.5546875" customWidth="1"/>
    <col min="17" max="33" width="9.5546875" customWidth="1"/>
  </cols>
  <sheetData>
    <row r="1" spans="1:39" s="3" customFormat="1" ht="48" x14ac:dyDescent="0.3">
      <c r="A1" s="48" t="s">
        <v>51</v>
      </c>
      <c r="B1" s="48" t="s">
        <v>76</v>
      </c>
      <c r="C1" s="48" t="s">
        <v>52</v>
      </c>
      <c r="D1" s="48" t="s">
        <v>53</v>
      </c>
      <c r="E1" s="48" t="s">
        <v>56</v>
      </c>
      <c r="F1" s="48" t="s">
        <v>39</v>
      </c>
      <c r="G1" s="48" t="s">
        <v>54</v>
      </c>
      <c r="H1" s="49" t="s">
        <v>40</v>
      </c>
      <c r="I1" s="49" t="s">
        <v>55</v>
      </c>
      <c r="J1" s="48" t="s">
        <v>261</v>
      </c>
      <c r="K1" s="8" t="s">
        <v>262</v>
      </c>
      <c r="L1" s="8" t="s">
        <v>263</v>
      </c>
      <c r="M1" s="8" t="s">
        <v>264</v>
      </c>
      <c r="N1" s="8" t="s">
        <v>265</v>
      </c>
      <c r="O1" s="8" t="s">
        <v>266</v>
      </c>
      <c r="P1" s="8" t="s">
        <v>267</v>
      </c>
      <c r="Q1" s="8" t="s">
        <v>268</v>
      </c>
      <c r="R1" s="8" t="s">
        <v>269</v>
      </c>
      <c r="S1" s="8" t="s">
        <v>270</v>
      </c>
      <c r="T1" s="8" t="s">
        <v>271</v>
      </c>
      <c r="U1" s="8" t="s">
        <v>272</v>
      </c>
      <c r="V1" s="48" t="s">
        <v>279</v>
      </c>
      <c r="W1" s="8" t="s">
        <v>280</v>
      </c>
      <c r="X1" s="8" t="s">
        <v>281</v>
      </c>
      <c r="Y1" s="8" t="s">
        <v>282</v>
      </c>
      <c r="Z1" s="8" t="s">
        <v>283</v>
      </c>
      <c r="AA1" s="8" t="s">
        <v>284</v>
      </c>
      <c r="AB1" s="8" t="s">
        <v>285</v>
      </c>
      <c r="AC1" s="8" t="s">
        <v>286</v>
      </c>
      <c r="AD1" s="8" t="s">
        <v>287</v>
      </c>
      <c r="AE1" s="8" t="s">
        <v>288</v>
      </c>
      <c r="AF1" s="8" t="s">
        <v>289</v>
      </c>
      <c r="AG1" s="8" t="s">
        <v>290</v>
      </c>
      <c r="AH1" s="48" t="s">
        <v>273</v>
      </c>
      <c r="AI1" s="48" t="s">
        <v>274</v>
      </c>
      <c r="AJ1" s="48" t="s">
        <v>275</v>
      </c>
      <c r="AK1" s="50" t="s">
        <v>276</v>
      </c>
      <c r="AL1" s="50" t="s">
        <v>277</v>
      </c>
      <c r="AM1" s="50" t="s">
        <v>278</v>
      </c>
    </row>
    <row r="2" spans="1:39" x14ac:dyDescent="0.3">
      <c r="A2" s="53">
        <f>YEAR(Table5[[#This Row],[Date]])+IF(MONTH(Table5[[#This Row],[Date]])&gt;=4,1,0)</f>
        <v>2025</v>
      </c>
      <c r="B2" s="53">
        <v>4</v>
      </c>
      <c r="C2" s="92">
        <f>YEAR(Table5[[#This Row],[Date]])</f>
        <v>2025</v>
      </c>
      <c r="D2" s="53" t="s">
        <v>317</v>
      </c>
      <c r="E2" s="53" t="s">
        <v>317</v>
      </c>
      <c r="F2" s="94" t="str">
        <f>TEXT(Table5[[#This Row],[Date]],"mmm-yy")</f>
        <v>Mar-25</v>
      </c>
      <c r="G2" s="92">
        <f t="shared" ref="G2:G9" si="0">DAY(EOMONTH(F2,0))</f>
        <v>31</v>
      </c>
      <c r="H2" s="93">
        <v>45745</v>
      </c>
      <c r="I2" s="53">
        <v>8.02</v>
      </c>
      <c r="J2" s="55">
        <f>IFERROR(Inv_SY!J4/Inv_SY!$Y4-1,"")</f>
        <v>-8.0592559013564435E-2</v>
      </c>
      <c r="K2" s="55">
        <f>IFERROR(Inv_SY!K4/Inv_SY!$Y4-1,"")</f>
        <v>-4.1178515752743561E-2</v>
      </c>
      <c r="L2" s="55">
        <f>IFERROR(Inv_SY!L4/Inv_SY!$Y4-1,"")</f>
        <v>-1</v>
      </c>
      <c r="M2" s="55">
        <f>IFERROR(Inv_SY!M4/Inv_SY!$Y4-1,"")</f>
        <v>-9.4156960828143066E-2</v>
      </c>
      <c r="N2" s="55">
        <f>IFERROR(Inv_SY!N4/Inv_SY!$Y4-1,"")</f>
        <v>0.3278329214477631</v>
      </c>
      <c r="O2" s="55">
        <f>IFERROR(Inv_SY!O4/Inv_SY!$Y4-1,"")</f>
        <v>0.279896017085139</v>
      </c>
      <c r="P2" s="55">
        <f>IFERROR(Inv_SY!P4/Inv_SY!$Y4-1,"")</f>
        <v>0.28100745740806277</v>
      </c>
      <c r="Q2" s="55">
        <f>IFERROR(Inv_SY!Q4/Inv_SY!$Y4-1,"")</f>
        <v>-1</v>
      </c>
      <c r="R2" s="55">
        <f>IFERROR(Inv_SY!R4/Inv_SY!$Y4-1,"")</f>
        <v>0.32993942172147706</v>
      </c>
      <c r="S2" s="55">
        <f>IFERROR(Inv_SY!S4/Inv_SY!$Y4-1,"")</f>
        <v>0.35401557340804191</v>
      </c>
      <c r="T2" s="55">
        <f>IFERROR(Inv_SY!T4/Inv_SY!$Y4-1,"")</f>
        <v>0.31154613941739751</v>
      </c>
      <c r="U2" s="55">
        <f>IFERROR(Inv_SY!U4/Inv_SY!$Y4-1,"")</f>
        <v>0.33261252158251131</v>
      </c>
      <c r="V2" s="55">
        <f>IFERROR(Inv_SY!J4/Inv_SY!$Z4-1,"")</f>
        <v>-0.3090932372355728</v>
      </c>
      <c r="W2" s="55">
        <f>IFERROR(Inv_SY!K4/Inv_SY!$Z4-1,"")</f>
        <v>-0.27947478101819201</v>
      </c>
      <c r="X2" s="55">
        <f>IFERROR(Inv_SY!L4/Inv_SY!$Z4-1,"")</f>
        <v>-1</v>
      </c>
      <c r="Y2" s="55">
        <f>IFERROR(Inv_SY!M4/Inv_SY!$Z4-1,"")</f>
        <v>-0.31928647314901226</v>
      </c>
      <c r="Z2" s="55">
        <f>IFERROR(Inv_SY!N4/Inv_SY!$Z4-1,"")</f>
        <v>-2.1738955416601424E-3</v>
      </c>
      <c r="AA2" s="55">
        <f>IFERROR(Inv_SY!O4/Inv_SY!$Z4-1,"")</f>
        <v>-3.8197022975340889E-2</v>
      </c>
      <c r="AB2" s="55">
        <f>IFERROR(Inv_SY!P4/Inv_SY!$Z4-1,"")</f>
        <v>-3.7361809335245355E-2</v>
      </c>
      <c r="AC2" s="55">
        <f>IFERROR(Inv_SY!Q4/Inv_SY!$Z4-1,"")</f>
        <v>-1</v>
      </c>
      <c r="AD2" s="55">
        <f>IFERROR(Inv_SY!R4/Inv_SY!$Z4-1,"")</f>
        <v>-5.9092457580356417E-4</v>
      </c>
      <c r="AE2" s="55">
        <f>IFERROR(Inv_SY!S4/Inv_SY!$Z4-1,"")</f>
        <v>1.7501572047611713E-2</v>
      </c>
      <c r="AF2" s="55">
        <f>IFERROR(Inv_SY!T4/Inv_SY!$Z4-1,"")</f>
        <v>-1.4412917488640264E-2</v>
      </c>
      <c r="AG2" s="55">
        <f>IFERROR(Inv_SY!U4/Inv_SY!$Z4-1,"")</f>
        <v>1.4178287681456681E-3</v>
      </c>
      <c r="AH2" s="55">
        <f>IFERROR(Inv_SY!V4/Inv_SY!$Y4-1,"")</f>
        <v>-0.3045358523754873</v>
      </c>
      <c r="AI2" s="55">
        <f>IFERROR(Inv_SY!W4/Inv_SY!$Y4-1,"")</f>
        <v>-2.6189927913217725E-2</v>
      </c>
      <c r="AJ2" s="55">
        <f>IFERROR(Inv_SY!X4/Inv_SY!$Y4-1,"")</f>
        <v>0.33072578028870492</v>
      </c>
      <c r="AK2" s="55">
        <f>IFERROR(Inv_SY!V4/Inv_SY!$Z4-1,"")</f>
        <v>-0.47737981939928331</v>
      </c>
      <c r="AL2" s="55">
        <f>IFERROR(Inv_SY!W4/Inv_SY!$Z4-1,"")</f>
        <v>-0.26821131256996367</v>
      </c>
      <c r="AM2" s="55">
        <f>IFERROR(Inv_SY!X4/Inv_SY!$Z4-1,"")</f>
        <v>0</v>
      </c>
    </row>
    <row r="3" spans="1:39" x14ac:dyDescent="0.3">
      <c r="A3" s="53">
        <f>YEAR(Table5[[#This Row],[Date]])+IF(MONTH(Table5[[#This Row],[Date]])&gt;=4,1,0)</f>
        <v>2025</v>
      </c>
      <c r="B3" s="53">
        <v>4</v>
      </c>
      <c r="C3" s="92">
        <f>YEAR(Table5[[#This Row],[Date]])</f>
        <v>2025</v>
      </c>
      <c r="D3" s="53" t="s">
        <v>317</v>
      </c>
      <c r="E3" s="53" t="s">
        <v>317</v>
      </c>
      <c r="F3" s="94" t="str">
        <f>TEXT(Table5[[#This Row],[Date]],"mmm-yy")</f>
        <v>Mar-25</v>
      </c>
      <c r="G3" s="92">
        <f t="shared" si="0"/>
        <v>31</v>
      </c>
      <c r="H3" s="93">
        <f t="shared" ref="H3:H4" si="1">H2+1</f>
        <v>45746</v>
      </c>
      <c r="I3" s="53">
        <v>8.02</v>
      </c>
      <c r="J3" s="55">
        <f>IFERROR(Inv_SY!J5/Inv_SY!$Y5-1,"")</f>
        <v>-5.28185101527745E-2</v>
      </c>
      <c r="K3" s="55">
        <f>IFERROR(Inv_SY!K5/Inv_SY!$Y5-1,"")</f>
        <v>-5.1596453120439922E-2</v>
      </c>
      <c r="L3" s="55">
        <f>IFERROR(Inv_SY!L5/Inv_SY!$Y5-1,"")</f>
        <v>-1</v>
      </c>
      <c r="M3" s="55">
        <f>IFERROR(Inv_SY!M5/Inv_SY!$Y5-1,"")</f>
        <v>-2.932508720463034E-2</v>
      </c>
      <c r="N3" s="55">
        <f>IFERROR(Inv_SY!N5/Inv_SY!$Y5-1,"")</f>
        <v>0.31639439750617404</v>
      </c>
      <c r="O3" s="55">
        <f>IFERROR(Inv_SY!O5/Inv_SY!$Y5-1,"")</f>
        <v>0.27127988689913862</v>
      </c>
      <c r="P3" s="55">
        <f>IFERROR(Inv_SY!P5/Inv_SY!$Y5-1,"")</f>
        <v>0.27159040958768244</v>
      </c>
      <c r="Q3" s="55">
        <f>IFERROR(Inv_SY!Q5/Inv_SY!$Y5-1,"")</f>
        <v>-1</v>
      </c>
      <c r="R3" s="55">
        <f>IFERROR(Inv_SY!R5/Inv_SY!$Y5-1,"")</f>
        <v>0.34790168123262499</v>
      </c>
      <c r="S3" s="55">
        <f>IFERROR(Inv_SY!S5/Inv_SY!$Y5-1,"")</f>
        <v>0.3393071275150894</v>
      </c>
      <c r="T3" s="55">
        <f>IFERROR(Inv_SY!T5/Inv_SY!$Y5-1,"")</f>
        <v>0.29934476921076736</v>
      </c>
      <c r="U3" s="55">
        <f>IFERROR(Inv_SY!U5/Inv_SY!$Y5-1,"")</f>
        <v>0.28864403008282036</v>
      </c>
      <c r="V3" s="55">
        <f>IFERROR(Inv_SY!J5/Inv_SY!$Z5-1,"")</f>
        <v>-0.28103449282834092</v>
      </c>
      <c r="W3" s="55">
        <f>IFERROR(Inv_SY!K5/Inv_SY!$Z5-1,"")</f>
        <v>-0.28010688089391977</v>
      </c>
      <c r="X3" s="55">
        <f>IFERROR(Inv_SY!L5/Inv_SY!$Z5-1,"")</f>
        <v>-1</v>
      </c>
      <c r="Y3" s="55">
        <f>IFERROR(Inv_SY!M5/Inv_SY!$Z5-1,"")</f>
        <v>-0.26320162666049052</v>
      </c>
      <c r="Z3" s="55">
        <f>IFERROR(Inv_SY!N5/Inv_SY!$Z5-1,"")</f>
        <v>-7.8055178885272358E-4</v>
      </c>
      <c r="AA3" s="55">
        <f>IFERROR(Inv_SY!O5/Inv_SY!$Z5-1,"")</f>
        <v>-3.5025073400671958E-2</v>
      </c>
      <c r="AB3" s="55">
        <f>IFERROR(Inv_SY!P5/Inv_SY!$Z5-1,"")</f>
        <v>-3.4789368728810999E-2</v>
      </c>
      <c r="AC3" s="55">
        <f>IFERROR(Inv_SY!Q5/Inv_SY!$Z5-1,"")</f>
        <v>-1</v>
      </c>
      <c r="AD3" s="55">
        <f>IFERROR(Inv_SY!R5/Inv_SY!$Z5-1,"")</f>
        <v>2.3135297989464787E-2</v>
      </c>
      <c r="AE3" s="55">
        <f>IFERROR(Inv_SY!S5/Inv_SY!$Z5-1,"")</f>
        <v>1.6611534868377298E-2</v>
      </c>
      <c r="AF3" s="55">
        <f>IFERROR(Inv_SY!T5/Inv_SY!$Z5-1,"")</f>
        <v>-1.3722205300760515E-2</v>
      </c>
      <c r="AG3" s="55">
        <f>IFERROR(Inv_SY!U5/Inv_SY!$Z5-1,"")</f>
        <v>-2.184468490651903E-2</v>
      </c>
      <c r="AH3" s="55">
        <f>IFERROR(Inv_SY!V5/Inv_SY!$Y5-1,"")</f>
        <v>-0.28385253794321041</v>
      </c>
      <c r="AI3" s="55">
        <f>IFERROR(Inv_SY!W5/Inv_SY!$Y5-1,"")</f>
        <v>-3.3570176219178793E-2</v>
      </c>
      <c r="AJ3" s="55">
        <f>IFERROR(Inv_SY!X5/Inv_SY!$Y5-1,"")</f>
        <v>0.31742271416238887</v>
      </c>
      <c r="AK3" s="55">
        <f>IFERROR(Inv_SY!V5/Inv_SY!$Z5-1,"")</f>
        <v>-0.45640267595347117</v>
      </c>
      <c r="AL3" s="55">
        <f>IFERROR(Inv_SY!W5/Inv_SY!$Z5-1,"")</f>
        <v>-0.26642389463030258</v>
      </c>
      <c r="AM3" s="55">
        <f>IFERROR(Inv_SY!X5/Inv_SY!$Z5-1,"")</f>
        <v>0</v>
      </c>
    </row>
    <row r="4" spans="1:39" x14ac:dyDescent="0.3">
      <c r="A4" s="53">
        <f>YEAR(Table5[[#This Row],[Date]])+IF(MONTH(Table5[[#This Row],[Date]])&gt;=4,1,0)</f>
        <v>2025</v>
      </c>
      <c r="B4" s="53">
        <v>4</v>
      </c>
      <c r="C4" s="92">
        <f>YEAR(Table5[[#This Row],[Date]])</f>
        <v>2025</v>
      </c>
      <c r="D4" s="53" t="s">
        <v>317</v>
      </c>
      <c r="E4" s="53" t="s">
        <v>317</v>
      </c>
      <c r="F4" s="94" t="str">
        <f>TEXT(Table5[[#This Row],[Date]],"mmm-yy")</f>
        <v>Mar-25</v>
      </c>
      <c r="G4" s="92">
        <f t="shared" si="0"/>
        <v>31</v>
      </c>
      <c r="H4" s="93">
        <f t="shared" si="1"/>
        <v>45747</v>
      </c>
      <c r="I4" s="53">
        <v>8.02</v>
      </c>
      <c r="J4" s="55">
        <f>IFERROR(Inv_SY!J6/Inv_SY!$Y6-1,"")</f>
        <v>-5.5004638451745524E-3</v>
      </c>
      <c r="K4" s="55">
        <f>IFERROR(Inv_SY!K6/Inv_SY!$Y6-1,"")</f>
        <v>-4.143579754167015E-2</v>
      </c>
      <c r="L4" s="55">
        <f>IFERROR(Inv_SY!L6/Inv_SY!$Y6-1,"")</f>
        <v>-1</v>
      </c>
      <c r="M4" s="55">
        <f>IFERROR(Inv_SY!M6/Inv_SY!$Y6-1,"")</f>
        <v>-5.622501882965214E-2</v>
      </c>
      <c r="N4" s="55">
        <f>IFERROR(Inv_SY!N6/Inv_SY!$Y6-1,"")</f>
        <v>0.2748348857519991</v>
      </c>
      <c r="O4" s="55">
        <f>IFERROR(Inv_SY!O6/Inv_SY!$Y6-1,"")</f>
        <v>0.26616583250750003</v>
      </c>
      <c r="P4" s="55">
        <f>IFERROR(Inv_SY!P6/Inv_SY!$Y6-1,"")</f>
        <v>0.30533059082021219</v>
      </c>
      <c r="Q4" s="55">
        <f>IFERROR(Inv_SY!Q6/Inv_SY!$Y6-1,"")</f>
        <v>-1</v>
      </c>
      <c r="R4" s="55">
        <f>IFERROR(Inv_SY!R6/Inv_SY!$Y6-1,"")</f>
        <v>0.31389564429102079</v>
      </c>
      <c r="S4" s="55">
        <f>IFERROR(Inv_SY!S6/Inv_SY!$Y6-1,"")</f>
        <v>0.33612808105673464</v>
      </c>
      <c r="T4" s="55">
        <f>IFERROR(Inv_SY!T6/Inv_SY!$Y6-1,"")</f>
        <v>0.32381756531838723</v>
      </c>
      <c r="U4" s="55">
        <f>IFERROR(Inv_SY!U6/Inv_SY!$Y6-1,"")</f>
        <v>0.28400029787217052</v>
      </c>
      <c r="V4" s="55">
        <f>IFERROR(Inv_SY!J6/Inv_SY!$Z6-1,"")</f>
        <v>-0.24267298304313334</v>
      </c>
      <c r="W4" s="55">
        <f>IFERROR(Inv_SY!K6/Inv_SY!$Z6-1,"")</f>
        <v>-0.2700383040737907</v>
      </c>
      <c r="X4" s="55">
        <f>IFERROR(Inv_SY!L6/Inv_SY!$Z6-1,"")</f>
        <v>-1</v>
      </c>
      <c r="Y4" s="55">
        <f>IFERROR(Inv_SY!M6/Inv_SY!$Z6-1,"")</f>
        <v>-0.28130052837250441</v>
      </c>
      <c r="Z4" s="55">
        <f>IFERROR(Inv_SY!N6/Inv_SY!$Z6-1,"")</f>
        <v>-2.9193211218548232E-2</v>
      </c>
      <c r="AA4" s="55">
        <f>IFERROR(Inv_SY!O6/Inv_SY!$Z6-1,"")</f>
        <v>-3.5794831425311924E-2</v>
      </c>
      <c r="AB4" s="55">
        <f>IFERROR(Inv_SY!P6/Inv_SY!$Z6-1,"")</f>
        <v>-5.970252826227096E-3</v>
      </c>
      <c r="AC4" s="55">
        <f>IFERROR(Inv_SY!Q6/Inv_SY!$Z6-1,"")</f>
        <v>-1</v>
      </c>
      <c r="AD4" s="55">
        <f>IFERROR(Inv_SY!R6/Inv_SY!$Z6-1,"")</f>
        <v>5.5216991939155413E-4</v>
      </c>
      <c r="AE4" s="55">
        <f>IFERROR(Inv_SY!S6/Inv_SY!$Z6-1,"")</f>
        <v>1.748251971177095E-2</v>
      </c>
      <c r="AF4" s="55">
        <f>IFERROR(Inv_SY!T6/Inv_SY!$Z6-1,"")</f>
        <v>8.1078686210622752E-3</v>
      </c>
      <c r="AG4" s="55">
        <f>IFERROR(Inv_SY!U6/Inv_SY!$Z6-1,"")</f>
        <v>-2.221360593186561E-2</v>
      </c>
      <c r="AH4" s="55">
        <f>IFERROR(Inv_SY!V6/Inv_SY!$Y6-1,"")</f>
        <v>-0.27636162081063109</v>
      </c>
      <c r="AI4" s="55">
        <f>IFERROR(Inv_SY!W6/Inv_SY!$Y6-1,"")</f>
        <v>-3.6808930203088952E-2</v>
      </c>
      <c r="AJ4" s="55">
        <f>IFERROR(Inv_SY!X6/Inv_SY!$Y6-1,"")</f>
        <v>0.31317055101372016</v>
      </c>
      <c r="AK4" s="55">
        <f>IFERROR(Inv_SY!V6/Inv_SY!$Z6-1,"")</f>
        <v>-0.44893800837161146</v>
      </c>
      <c r="AL4" s="55">
        <f>IFERROR(Inv_SY!W6/Inv_SY!$Z6-1,"")</f>
        <v>-0.26651487192325296</v>
      </c>
      <c r="AM4" s="55">
        <f>IFERROR(Inv_SY!X6/Inv_SY!$Z6-1,"")</f>
        <v>0</v>
      </c>
    </row>
    <row r="5" spans="1:39" x14ac:dyDescent="0.3">
      <c r="A5" s="53">
        <f>YEAR(Table5[[#This Row],[Date]])+IF(MONTH(Table5[[#This Row],[Date]])&gt;=4,1,0)</f>
        <v>2026</v>
      </c>
      <c r="B5" s="53">
        <v>4</v>
      </c>
      <c r="C5" s="92">
        <f>YEAR(Table5[[#This Row],[Date]])</f>
        <v>2025</v>
      </c>
      <c r="D5" s="53" t="s">
        <v>317</v>
      </c>
      <c r="E5" s="53" t="s">
        <v>317</v>
      </c>
      <c r="F5" s="94" t="str">
        <f>TEXT(Table5[[#This Row],[Date]],"mmm-yy")</f>
        <v>Apr-25</v>
      </c>
      <c r="G5" s="92">
        <f t="shared" si="0"/>
        <v>30</v>
      </c>
      <c r="H5" s="93">
        <f t="shared" ref="H5:H44" si="2">H4+1</f>
        <v>45748</v>
      </c>
      <c r="I5" s="53">
        <v>8.02</v>
      </c>
      <c r="J5" s="55">
        <f>IFERROR(Inv_SY!J7/Inv_SY!$Y7-1,"")</f>
        <v>-3.6698787580007441E-2</v>
      </c>
      <c r="K5" s="55">
        <f>IFERROR(Inv_SY!K7/Inv_SY!$Y7-1,"")</f>
        <v>2.2372328729263202E-3</v>
      </c>
      <c r="L5" s="55">
        <f>IFERROR(Inv_SY!L7/Inv_SY!$Y7-1,"")</f>
        <v>-1</v>
      </c>
      <c r="M5" s="55">
        <f>IFERROR(Inv_SY!M7/Inv_SY!$Y7-1,"")</f>
        <v>-5.0805062623740738E-2</v>
      </c>
      <c r="N5" s="55">
        <f>IFERROR(Inv_SY!N7/Inv_SY!$Y7-1,"")</f>
        <v>0.31088829313512756</v>
      </c>
      <c r="O5" s="55">
        <f>IFERROR(Inv_SY!O7/Inv_SY!$Y7-1,"")</f>
        <v>0.26310208832056503</v>
      </c>
      <c r="P5" s="55">
        <f>IFERROR(Inv_SY!P7/Inv_SY!$Y7-1,"")</f>
        <v>0.2645872171722059</v>
      </c>
      <c r="Q5" s="55">
        <f>IFERROR(Inv_SY!Q7/Inv_SY!$Y7-1,"")</f>
        <v>-1</v>
      </c>
      <c r="R5" s="55">
        <f>IFERROR(Inv_SY!R7/Inv_SY!$Y7-1,"")</f>
        <v>0.31198577723260423</v>
      </c>
      <c r="S5" s="55">
        <f>IFERROR(Inv_SY!S7/Inv_SY!$Y7-1,"")</f>
        <v>0.33422056667989608</v>
      </c>
      <c r="T5" s="55">
        <f>IFERROR(Inv_SY!T7/Inv_SY!$Y7-1,"")</f>
        <v>0.29228755489174318</v>
      </c>
      <c r="U5" s="55">
        <f>IFERROR(Inv_SY!U7/Inv_SY!$Y7-1,"")</f>
        <v>0.30925626079277424</v>
      </c>
      <c r="V5" s="55">
        <f>IFERROR(Inv_SY!J7/Inv_SY!$Z7-1,"")</f>
        <v>-0.26501673013106986</v>
      </c>
      <c r="W5" s="55">
        <f>IFERROR(Inv_SY!K7/Inv_SY!$Z7-1,"")</f>
        <v>-0.23530917525704587</v>
      </c>
      <c r="X5" s="55">
        <f>IFERROR(Inv_SY!L7/Inv_SY!$Z7-1,"")</f>
        <v>-1</v>
      </c>
      <c r="Y5" s="55">
        <f>IFERROR(Inv_SY!M7/Inv_SY!$Z7-1,"")</f>
        <v>-0.27577959020395149</v>
      </c>
      <c r="Z5" s="55">
        <f>IFERROR(Inv_SY!N7/Inv_SY!$Z7-1,"")</f>
        <v>1.8659968351175671E-4</v>
      </c>
      <c r="AA5" s="55">
        <f>IFERROR(Inv_SY!O7/Inv_SY!$Z7-1,"")</f>
        <v>-3.6273502947315794E-2</v>
      </c>
      <c r="AB5" s="55">
        <f>IFERROR(Inv_SY!P7/Inv_SY!$Z7-1,"")</f>
        <v>-3.5140373615096365E-2</v>
      </c>
      <c r="AC5" s="55">
        <f>IFERROR(Inv_SY!Q7/Inv_SY!$Z7-1,"")</f>
        <v>-1</v>
      </c>
      <c r="AD5" s="55">
        <f>IFERROR(Inv_SY!R7/Inv_SY!$Z7-1,"")</f>
        <v>1.0239623279189036E-3</v>
      </c>
      <c r="AE5" s="55">
        <f>IFERROR(Inv_SY!S7/Inv_SY!$Z7-1,"")</f>
        <v>1.7988747632987856E-2</v>
      </c>
      <c r="AF5" s="55">
        <f>IFERROR(Inv_SY!T7/Inv_SY!$Z7-1,"")</f>
        <v>-1.4005463234953774E-2</v>
      </c>
      <c r="AG5" s="55">
        <f>IFERROR(Inv_SY!U7/Inv_SY!$Z7-1,"")</f>
        <v>-1.0586146399511609E-3</v>
      </c>
      <c r="AH5" s="55">
        <f>IFERROR(Inv_SY!V7/Inv_SY!$Y7-1,"")</f>
        <v>-0.27189312760374629</v>
      </c>
      <c r="AI5" s="55">
        <f>IFERROR(Inv_SY!W7/Inv_SY!$Y7-1,"")</f>
        <v>-3.8750599826646193E-2</v>
      </c>
      <c r="AJ5" s="55">
        <f>IFERROR(Inv_SY!X7/Inv_SY!$Y7-1,"")</f>
        <v>0.31064372743039237</v>
      </c>
      <c r="AK5" s="55">
        <f>IFERROR(Inv_SY!V7/Inv_SY!$Z7-1,"")</f>
        <v>-0.44446621369503858</v>
      </c>
      <c r="AL5" s="55">
        <f>IFERROR(Inv_SY!W7/Inv_SY!$Z7-1,"")</f>
        <v>-0.26658222974297541</v>
      </c>
      <c r="AM5" s="55">
        <f>IFERROR(Inv_SY!X7/Inv_SY!$Z7-1,"")</f>
        <v>0</v>
      </c>
    </row>
    <row r="6" spans="1:39" x14ac:dyDescent="0.3">
      <c r="A6" s="53">
        <f>YEAR(Table5[[#This Row],[Date]])+IF(MONTH(Table5[[#This Row],[Date]])&gt;=4,1,0)</f>
        <v>2026</v>
      </c>
      <c r="B6" s="53">
        <v>4</v>
      </c>
      <c r="C6" s="92">
        <f>YEAR(Table5[[#This Row],[Date]])</f>
        <v>2025</v>
      </c>
      <c r="D6" s="53" t="s">
        <v>317</v>
      </c>
      <c r="E6" s="53" t="s">
        <v>317</v>
      </c>
      <c r="F6" s="94" t="str">
        <f>TEXT(Table5[[#This Row],[Date]],"mmm-yy")</f>
        <v>Apr-25</v>
      </c>
      <c r="G6" s="92">
        <f t="shared" si="0"/>
        <v>30</v>
      </c>
      <c r="H6" s="93">
        <f t="shared" si="2"/>
        <v>45749</v>
      </c>
      <c r="I6" s="53">
        <v>8.02</v>
      </c>
      <c r="J6" s="55">
        <f>IFERROR(Inv_SY!J8/Inv_SY!$Y8-1,"")</f>
        <v>-0.22870784889417273</v>
      </c>
      <c r="K6" s="55">
        <f>IFERROR(Inv_SY!K8/Inv_SY!$Y8-1,"")</f>
        <v>-0.2278835546213227</v>
      </c>
      <c r="L6" s="55">
        <f>IFERROR(Inv_SY!L8/Inv_SY!$Y8-1,"")</f>
        <v>-1</v>
      </c>
      <c r="M6" s="55">
        <f>IFERROR(Inv_SY!M8/Inv_SY!$Y8-1,"")</f>
        <v>-0.2041216367019093</v>
      </c>
      <c r="N6" s="55">
        <f>IFERROR(Inv_SY!N8/Inv_SY!$Y8-1,"")</f>
        <v>0.38791156277072503</v>
      </c>
      <c r="O6" s="55">
        <f>IFERROR(Inv_SY!O8/Inv_SY!$Y8-1,"")</f>
        <v>0.33973764338202739</v>
      </c>
      <c r="P6" s="55">
        <f>IFERROR(Inv_SY!P8/Inv_SY!$Y8-1,"")</f>
        <v>0.34153892906351802</v>
      </c>
      <c r="Q6" s="55">
        <f>IFERROR(Inv_SY!Q8/Inv_SY!$Y8-1,"")</f>
        <v>-1</v>
      </c>
      <c r="R6" s="55">
        <f>IFERROR(Inv_SY!R8/Inv_SY!$Y8-1,"")</f>
        <v>0.42740070709881883</v>
      </c>
      <c r="S6" s="55">
        <f>IFERROR(Inv_SY!S8/Inv_SY!$Y8-1,"")</f>
        <v>0.421432428703991</v>
      </c>
      <c r="T6" s="55">
        <f>IFERROR(Inv_SY!T8/Inv_SY!$Y8-1,"")</f>
        <v>0.37686554595075328</v>
      </c>
      <c r="U6" s="55">
        <f>IFERROR(Inv_SY!U8/Inv_SY!$Y8-1,"")</f>
        <v>0.3661924842145754</v>
      </c>
      <c r="V6" s="55">
        <f>IFERROR(Inv_SY!J8/Inv_SY!$Z8-1,"")</f>
        <v>-0.44769859757828023</v>
      </c>
      <c r="W6" s="55">
        <f>IFERROR(Inv_SY!K8/Inv_SY!$Z8-1,"")</f>
        <v>-0.44710834279317635</v>
      </c>
      <c r="X6" s="55">
        <f>IFERROR(Inv_SY!L8/Inv_SY!$Z8-1,"")</f>
        <v>-1</v>
      </c>
      <c r="Y6" s="55">
        <f>IFERROR(Inv_SY!M8/Inv_SY!$Z8-1,"")</f>
        <v>-0.43009307747210967</v>
      </c>
      <c r="Z6" s="55">
        <f>IFERROR(Inv_SY!N8/Inv_SY!$Z8-1,"")</f>
        <v>-6.1541512427287781E-3</v>
      </c>
      <c r="AA6" s="55">
        <f>IFERROR(Inv_SY!O8/Inv_SY!$Z8-1,"")</f>
        <v>-4.0650189093473177E-2</v>
      </c>
      <c r="AB6" s="55">
        <f>IFERROR(Inv_SY!P8/Inv_SY!$Z8-1,"")</f>
        <v>-3.9360337243401711E-2</v>
      </c>
      <c r="AC6" s="55">
        <f>IFERROR(Inv_SY!Q8/Inv_SY!$Z8-1,"")</f>
        <v>-1</v>
      </c>
      <c r="AD6" s="55">
        <f>IFERROR(Inv_SY!R8/Inv_SY!$Z8-1,"")</f>
        <v>2.2122954600459543E-2</v>
      </c>
      <c r="AE6" s="55">
        <f>IFERROR(Inv_SY!S8/Inv_SY!$Z8-1,"")</f>
        <v>1.7849232220709332E-2</v>
      </c>
      <c r="AF6" s="55">
        <f>IFERROR(Inv_SY!T8/Inv_SY!$Z8-1,"")</f>
        <v>-1.406390446930772E-2</v>
      </c>
      <c r="AG6" s="55">
        <f>IFERROR(Inv_SY!U8/Inv_SY!$Z8-1,"")</f>
        <v>-2.1706594669866908E-2</v>
      </c>
      <c r="AH6" s="55">
        <f>IFERROR(Inv_SY!V8/Inv_SY!$Y8-1,"")</f>
        <v>-0.4155043291790822</v>
      </c>
      <c r="AI6" s="55">
        <f>IFERROR(Inv_SY!W8/Inv_SY!$Y8-1,"")</f>
        <v>1.899845806616951E-2</v>
      </c>
      <c r="AJ6" s="55">
        <f>IFERROR(Inv_SY!X8/Inv_SY!$Y8-1,"")</f>
        <v>0.3965058711129128</v>
      </c>
      <c r="AK6" s="55">
        <f>IFERROR(Inv_SY!V8/Inv_SY!$Z8-1,"")</f>
        <v>-0.58145849372253799</v>
      </c>
      <c r="AL6" s="55">
        <f>IFERROR(Inv_SY!W8/Inv_SY!$Z8-1,"")</f>
        <v>-0.27032282560036602</v>
      </c>
      <c r="AM6" s="55">
        <f>IFERROR(Inv_SY!X8/Inv_SY!$Z8-1,"")</f>
        <v>0</v>
      </c>
    </row>
    <row r="7" spans="1:39" x14ac:dyDescent="0.3">
      <c r="A7" s="53">
        <f>YEAR(Table5[[#This Row],[Date]])+IF(MONTH(Table5[[#This Row],[Date]])&gt;=4,1,0)</f>
        <v>2026</v>
      </c>
      <c r="B7" s="53">
        <v>4</v>
      </c>
      <c r="C7" s="92">
        <f>YEAR(Table5[[#This Row],[Date]])</f>
        <v>2025</v>
      </c>
      <c r="D7" s="53" t="s">
        <v>317</v>
      </c>
      <c r="E7" s="53" t="s">
        <v>317</v>
      </c>
      <c r="F7" s="94" t="str">
        <f>TEXT(Table5[[#This Row],[Date]],"mmm-yy")</f>
        <v>Apr-25</v>
      </c>
      <c r="G7" s="92">
        <f t="shared" si="0"/>
        <v>30</v>
      </c>
      <c r="H7" s="93">
        <f t="shared" si="2"/>
        <v>45750</v>
      </c>
      <c r="I7" s="53">
        <v>8.02</v>
      </c>
      <c r="J7" s="55">
        <f>IFERROR(Inv_SY!J9/Inv_SY!$Y9-1,"")</f>
        <v>3.5960941717955386E-2</v>
      </c>
      <c r="K7" s="55">
        <f>IFERROR(Inv_SY!K9/Inv_SY!$Y9-1,"")</f>
        <v>3.1041396804772914E-2</v>
      </c>
      <c r="L7" s="55">
        <f>IFERROR(Inv_SY!L9/Inv_SY!$Y9-1,"")</f>
        <v>-1</v>
      </c>
      <c r="M7" s="55">
        <f>IFERROR(Inv_SY!M9/Inv_SY!$Y9-1,"")</f>
        <v>-3.9439333697455448E-2</v>
      </c>
      <c r="N7" s="55">
        <f>IFERROR(Inv_SY!N9/Inv_SY!$Y9-1,"")</f>
        <v>0.23061206279106106</v>
      </c>
      <c r="O7" s="55">
        <f>IFERROR(Inv_SY!O9/Inv_SY!$Y9-1,"")</f>
        <v>0.32763194034120491</v>
      </c>
      <c r="P7" s="55">
        <f>IFERROR(Inv_SY!P9/Inv_SY!$Y9-1,"")</f>
        <v>0.22351501439171528</v>
      </c>
      <c r="Q7" s="55">
        <f>IFERROR(Inv_SY!Q9/Inv_SY!$Y9-1,"")</f>
        <v>-1</v>
      </c>
      <c r="R7" s="55">
        <f>IFERROR(Inv_SY!R9/Inv_SY!$Y9-1,"")</f>
        <v>0.26547779117239712</v>
      </c>
      <c r="S7" s="55">
        <f>IFERROR(Inv_SY!S9/Inv_SY!$Y9-1,"")</f>
        <v>0.44051345062654912</v>
      </c>
      <c r="T7" s="55">
        <f>IFERROR(Inv_SY!T9/Inv_SY!$Y9-1,"")</f>
        <v>0.24921022154914896</v>
      </c>
      <c r="U7" s="55">
        <f>IFERROR(Inv_SY!U9/Inv_SY!$Y9-1,"")</f>
        <v>0.23999095792147984</v>
      </c>
      <c r="V7" s="55">
        <f>IFERROR(Inv_SY!J9/Inv_SY!$Z9-1,"")</f>
        <v>-0.20113361673751784</v>
      </c>
      <c r="W7" s="55">
        <f>IFERROR(Inv_SY!K9/Inv_SY!$Z9-1,"")</f>
        <v>-0.20492725305509374</v>
      </c>
      <c r="X7" s="55">
        <f>IFERROR(Inv_SY!L9/Inv_SY!$Z9-1,"")</f>
        <v>-1</v>
      </c>
      <c r="Y7" s="55">
        <f>IFERROR(Inv_SY!M9/Inv_SY!$Z9-1,"")</f>
        <v>-0.25927745488089005</v>
      </c>
      <c r="Z7" s="55">
        <f>IFERROR(Inv_SY!N9/Inv_SY!$Z9-1,"")</f>
        <v>-5.1031203772227585E-2</v>
      </c>
      <c r="AA7" s="55">
        <f>IFERROR(Inv_SY!O9/Inv_SY!$Z9-1,"")</f>
        <v>2.3784279671117847E-2</v>
      </c>
      <c r="AB7" s="55">
        <f>IFERROR(Inv_SY!P9/Inv_SY!$Z9-1,"")</f>
        <v>-5.6503990591026065E-2</v>
      </c>
      <c r="AC7" s="55">
        <f>IFERROR(Inv_SY!Q9/Inv_SY!$Z9-1,"")</f>
        <v>-1</v>
      </c>
      <c r="AD7" s="55">
        <f>IFERROR(Inv_SY!R9/Inv_SY!$Z9-1,"")</f>
        <v>-2.4144998694244024E-2</v>
      </c>
      <c r="AE7" s="55">
        <f>IFERROR(Inv_SY!S9/Inv_SY!$Z9-1,"")</f>
        <v>0.11083123311061427</v>
      </c>
      <c r="AF7" s="55">
        <f>IFERROR(Inv_SY!T9/Inv_SY!$Z9-1,"")</f>
        <v>-3.6689501084309017E-2</v>
      </c>
      <c r="AG7" s="55">
        <f>IFERROR(Inv_SY!U9/Inv_SY!$Z9-1,"")</f>
        <v>-4.3798803659332641E-2</v>
      </c>
      <c r="AH7" s="55">
        <f>IFERROR(Inv_SY!V9/Inv_SY!$Y9-1,"")</f>
        <v>-0.24380975164140506</v>
      </c>
      <c r="AI7" s="55">
        <f>IFERROR(Inv_SY!W9/Inv_SY!$Y9-1,"")</f>
        <v>-5.2979002301657641E-2</v>
      </c>
      <c r="AJ7" s="55">
        <f>IFERROR(Inv_SY!X9/Inv_SY!$Y9-1,"")</f>
        <v>0.29678875394306248</v>
      </c>
      <c r="AK7" s="55">
        <f>IFERROR(Inv_SY!V9/Inv_SY!$Z9-1,"")</f>
        <v>-0.41687476386628453</v>
      </c>
      <c r="AL7" s="55">
        <f>IFERROR(Inv_SY!W9/Inv_SY!$Z9-1,"")</f>
        <v>-0.26971837562687351</v>
      </c>
      <c r="AM7" s="55">
        <f>IFERROR(Inv_SY!X9/Inv_SY!$Z9-1,"")</f>
        <v>0</v>
      </c>
    </row>
    <row r="8" spans="1:39" x14ac:dyDescent="0.3">
      <c r="A8" s="53">
        <f>YEAR(Table5[[#This Row],[Date]])+IF(MONTH(Table5[[#This Row],[Date]])&gt;=4,1,0)</f>
        <v>2026</v>
      </c>
      <c r="B8" s="53">
        <v>4</v>
      </c>
      <c r="C8" s="92">
        <f>YEAR(Table5[[#This Row],[Date]])</f>
        <v>2025</v>
      </c>
      <c r="D8" s="53" t="s">
        <v>317</v>
      </c>
      <c r="E8" s="53" t="s">
        <v>317</v>
      </c>
      <c r="F8" s="94" t="str">
        <f>TEXT(Table5[[#This Row],[Date]],"mmm-yy")</f>
        <v>Apr-25</v>
      </c>
      <c r="G8" s="92">
        <f t="shared" si="0"/>
        <v>30</v>
      </c>
      <c r="H8" s="93">
        <f t="shared" si="2"/>
        <v>45751</v>
      </c>
      <c r="I8" s="53">
        <v>8.02</v>
      </c>
      <c r="J8" s="55">
        <f>IFERROR(Inv_SY!J10/Inv_SY!$Y10-1,"")</f>
        <v>-0.29849428385535381</v>
      </c>
      <c r="K8" s="55">
        <f>IFERROR(Inv_SY!K10/Inv_SY!$Y10-1,"")</f>
        <v>-0.28274091352970188</v>
      </c>
      <c r="L8" s="55">
        <f>IFERROR(Inv_SY!L10/Inv_SY!$Y10-1,"")</f>
        <v>-1</v>
      </c>
      <c r="M8" s="55">
        <f>IFERROR(Inv_SY!M10/Inv_SY!$Y10-1,"")</f>
        <v>-0.30162288747096322</v>
      </c>
      <c r="N8" s="55">
        <f>IFERROR(Inv_SY!N10/Inv_SY!$Y10-1,"")</f>
        <v>0.55267633131172667</v>
      </c>
      <c r="O8" s="55">
        <f>IFERROR(Inv_SY!O10/Inv_SY!$Y10-1,"")</f>
        <v>0.57304792587892495</v>
      </c>
      <c r="P8" s="55">
        <f>IFERROR(Inv_SY!P10/Inv_SY!$Y10-1,"")</f>
        <v>0.54403155870941022</v>
      </c>
      <c r="Q8" s="55">
        <f>IFERROR(Inv_SY!Q10/Inv_SY!$Y10-1,"")</f>
        <v>-1</v>
      </c>
      <c r="R8" s="55">
        <f>IFERROR(Inv_SY!R10/Inv_SY!$Y10-1,"")</f>
        <v>0.33465717247765681</v>
      </c>
      <c r="S8" s="55">
        <f>IFERROR(Inv_SY!S10/Inv_SY!$Y10-1,"")</f>
        <v>0.32341379461041941</v>
      </c>
      <c r="T8" s="55">
        <f>IFERROR(Inv_SY!T10/Inv_SY!$Y10-1,"")</f>
        <v>0.2819582744213851</v>
      </c>
      <c r="U8" s="55">
        <f>IFERROR(Inv_SY!U10/Inv_SY!$Y10-1,"")</f>
        <v>0.27227267493843876</v>
      </c>
      <c r="V8" s="55">
        <f>IFERROR(Inv_SY!J10/Inv_SY!$Z10-1,"")</f>
        <v>-0.4610874381639426</v>
      </c>
      <c r="W8" s="55">
        <f>IFERROR(Inv_SY!K10/Inv_SY!$Z10-1,"")</f>
        <v>-0.44898534267937962</v>
      </c>
      <c r="X8" s="55">
        <f>IFERROR(Inv_SY!L10/Inv_SY!$Z10-1,"")</f>
        <v>-1</v>
      </c>
      <c r="Y8" s="55">
        <f>IFERROR(Inv_SY!M10/Inv_SY!$Z10-1,"")</f>
        <v>-0.46349090224221667</v>
      </c>
      <c r="Z8" s="55">
        <f>IFERROR(Inv_SY!N10/Inv_SY!$Z10-1,"")</f>
        <v>0.1928010850832178</v>
      </c>
      <c r="AA8" s="55">
        <f>IFERROR(Inv_SY!O10/Inv_SY!$Z10-1,"")</f>
        <v>0.20845100491171231</v>
      </c>
      <c r="AB8" s="55">
        <f>IFERROR(Inv_SY!P10/Inv_SY!$Z10-1,"")</f>
        <v>0.18615997519289729</v>
      </c>
      <c r="AC8" s="55">
        <f>IFERROR(Inv_SY!Q10/Inv_SY!$Z10-1,"")</f>
        <v>-1</v>
      </c>
      <c r="AD8" s="55">
        <f>IFERROR(Inv_SY!R10/Inv_SY!$Z10-1,"")</f>
        <v>2.5313834854761463E-2</v>
      </c>
      <c r="AE8" s="55">
        <f>IFERROR(Inv_SY!S10/Inv_SY!$Z10-1,"")</f>
        <v>1.6676417609718719E-2</v>
      </c>
      <c r="AF8" s="55">
        <f>IFERROR(Inv_SY!T10/Inv_SY!$Z10-1,"")</f>
        <v>-1.5170650879046566E-2</v>
      </c>
      <c r="AG8" s="55">
        <f>IFERROR(Inv_SY!U10/Inv_SY!$Z10-1,"")</f>
        <v>-2.2611347526479642E-2</v>
      </c>
      <c r="AH8" s="55">
        <f>IFERROR(Inv_SY!V10/Inv_SY!$Y10-1,"")</f>
        <v>-0.47109749157733116</v>
      </c>
      <c r="AI8" s="55">
        <f>IFERROR(Inv_SY!W10/Inv_SY!$Y10-1,"")</f>
        <v>0.1693914898566824</v>
      </c>
      <c r="AJ8" s="55">
        <f>IFERROR(Inv_SY!X10/Inv_SY!$Y10-1,"")</f>
        <v>0.30170600172064876</v>
      </c>
      <c r="AK8" s="55">
        <f>IFERROR(Inv_SY!V10/Inv_SY!$Z10-1,"")</f>
        <v>-0.5936851272687198</v>
      </c>
      <c r="AL8" s="55">
        <f>IFERROR(Inv_SY!W10/Inv_SY!$Z10-1,"")</f>
        <v>-0.10164700146505234</v>
      </c>
      <c r="AM8" s="55">
        <f>IFERROR(Inv_SY!X10/Inv_SY!$Z10-1,"")</f>
        <v>0</v>
      </c>
    </row>
    <row r="9" spans="1:39" x14ac:dyDescent="0.3">
      <c r="A9" s="53">
        <f>YEAR(Table5[[#This Row],[Date]])+IF(MONTH(Table5[[#This Row],[Date]])&gt;=4,1,0)</f>
        <v>2026</v>
      </c>
      <c r="B9" s="53">
        <v>4</v>
      </c>
      <c r="C9" s="92">
        <f>YEAR(Table5[[#This Row],[Date]])</f>
        <v>2025</v>
      </c>
      <c r="D9" s="53" t="s">
        <v>317</v>
      </c>
      <c r="E9" s="53" t="s">
        <v>317</v>
      </c>
      <c r="F9" s="94" t="str">
        <f>TEXT(Table5[[#This Row],[Date]],"mmm-yy")</f>
        <v>Apr-25</v>
      </c>
      <c r="G9" s="92">
        <f t="shared" si="0"/>
        <v>30</v>
      </c>
      <c r="H9" s="93">
        <f t="shared" si="2"/>
        <v>45752</v>
      </c>
      <c r="I9" s="53">
        <v>8.02</v>
      </c>
      <c r="J9" s="55">
        <f>IFERROR(Inv_SY!J11/Inv_SY!$Y11-1,"")</f>
        <v>-0.385493752372145</v>
      </c>
      <c r="K9" s="55">
        <f>IFERROR(Inv_SY!K11/Inv_SY!$Y11-1,"")</f>
        <v>-0.38425331279716834</v>
      </c>
      <c r="L9" s="55">
        <f>IFERROR(Inv_SY!L11/Inv_SY!$Y11-1,"")</f>
        <v>-1</v>
      </c>
      <c r="M9" s="55">
        <f>IFERROR(Inv_SY!M11/Inv_SY!$Y11-1,"")</f>
        <v>-0.36805838668673396</v>
      </c>
      <c r="N9" s="55">
        <f>IFERROR(Inv_SY!N11/Inv_SY!$Y11-1,"")</f>
        <v>0.58972221774287648</v>
      </c>
      <c r="O9" s="55">
        <f>IFERROR(Inv_SY!O11/Inv_SY!$Y11-1,"")</f>
        <v>0.57818421943097187</v>
      </c>
      <c r="P9" s="55">
        <f>IFERROR(Inv_SY!P11/Inv_SY!$Y11-1,"")</f>
        <v>0.60626510936226286</v>
      </c>
      <c r="Q9" s="55">
        <f>IFERROR(Inv_SY!Q11/Inv_SY!$Y11-1,"")</f>
        <v>-1</v>
      </c>
      <c r="R9" s="55">
        <f>IFERROR(Inv_SY!R11/Inv_SY!$Y11-1,"")</f>
        <v>0.34263593844019846</v>
      </c>
      <c r="S9" s="55">
        <f>IFERROR(Inv_SY!S11/Inv_SY!$Y11-1,"")</f>
        <v>0.38815176044132182</v>
      </c>
      <c r="T9" s="55">
        <f>IFERROR(Inv_SY!T11/Inv_SY!$Y11-1,"")</f>
        <v>0.321254699815269</v>
      </c>
      <c r="U9" s="55">
        <f>IFERROR(Inv_SY!U11/Inv_SY!$Y11-1,"")</f>
        <v>0.31066926522097327</v>
      </c>
      <c r="V9" s="55">
        <f>IFERROR(Inv_SY!J11/Inv_SY!$Z11-1,"")</f>
        <v>-0.54113187943331809</v>
      </c>
      <c r="W9" s="55">
        <f>IFERROR(Inv_SY!K11/Inv_SY!$Z11-1,"")</f>
        <v>-0.54020561028854808</v>
      </c>
      <c r="X9" s="55">
        <f>IFERROR(Inv_SY!L11/Inv_SY!$Z11-1,"")</f>
        <v>-1</v>
      </c>
      <c r="Y9" s="55">
        <f>IFERROR(Inv_SY!M11/Inv_SY!$Z11-1,"")</f>
        <v>-0.5281124292416538</v>
      </c>
      <c r="Z9" s="55">
        <f>IFERROR(Inv_SY!N11/Inv_SY!$Z11-1,"")</f>
        <v>0.18708776207681455</v>
      </c>
      <c r="AA9" s="55">
        <f>IFERROR(Inv_SY!O11/Inv_SY!$Z11-1,"")</f>
        <v>0.17847203258517319</v>
      </c>
      <c r="AB9" s="55">
        <f>IFERROR(Inv_SY!P11/Inv_SY!$Z11-1,"")</f>
        <v>0.19944077820224737</v>
      </c>
      <c r="AC9" s="55">
        <f>IFERROR(Inv_SY!Q11/Inv_SY!$Z11-1,"")</f>
        <v>-1</v>
      </c>
      <c r="AD9" s="55">
        <f>IFERROR(Inv_SY!R11/Inv_SY!$Z11-1,"")</f>
        <v>2.5818810721724983E-3</v>
      </c>
      <c r="AE9" s="55">
        <f>IFERROR(Inv_SY!S11/Inv_SY!$Z11-1,"")</f>
        <v>3.6569753088652845E-2</v>
      </c>
      <c r="AF9" s="55">
        <f>IFERROR(Inv_SY!T11/Inv_SY!$Z11-1,"")</f>
        <v>-1.3384057144212869E-2</v>
      </c>
      <c r="AG9" s="55">
        <f>IFERROR(Inv_SY!U11/Inv_SY!$Z11-1,"")</f>
        <v>-2.1288482032351008E-2</v>
      </c>
      <c r="AH9" s="55">
        <f>IFERROR(Inv_SY!V11/Inv_SY!$Y11-1,"")</f>
        <v>-0.53471742044794257</v>
      </c>
      <c r="AI9" s="55">
        <f>IFERROR(Inv_SY!W11/Inv_SY!$Y11-1,"")</f>
        <v>0.19553908121407515</v>
      </c>
      <c r="AJ9" s="55">
        <f>IFERROR(Inv_SY!X11/Inv_SY!$Y11-1,"")</f>
        <v>0.3391783392338672</v>
      </c>
      <c r="AK9" s="55">
        <f>IFERROR(Inv_SY!V11/Inv_SY!$Z11-1,"")</f>
        <v>-0.65256115192376707</v>
      </c>
      <c r="AL9" s="55">
        <f>IFERROR(Inv_SY!W11/Inv_SY!$Z11-1,"")</f>
        <v>-0.10725924532349207</v>
      </c>
      <c r="AM9" s="55">
        <f>IFERROR(Inv_SY!X11/Inv_SY!$Z11-1,"")</f>
        <v>0</v>
      </c>
    </row>
    <row r="10" spans="1:39" x14ac:dyDescent="0.3">
      <c r="A10" s="53">
        <f>YEAR(Table5[[#This Row],[Date]])+IF(MONTH(Table5[[#This Row],[Date]])&gt;=4,1,0)</f>
        <v>2026</v>
      </c>
      <c r="B10" s="53">
        <v>4</v>
      </c>
      <c r="C10" s="92">
        <f>YEAR(Table5[[#This Row],[Date]])</f>
        <v>2025</v>
      </c>
      <c r="D10" s="53" t="s">
        <v>317</v>
      </c>
      <c r="E10" s="53" t="s">
        <v>317</v>
      </c>
      <c r="F10" s="94" t="str">
        <f>TEXT(Table5[[#This Row],[Date]],"mmm-yy")</f>
        <v>Apr-25</v>
      </c>
      <c r="G10" s="92">
        <f t="shared" ref="G10:G41" si="3">DAY(EOMONTH(F10,0))</f>
        <v>30</v>
      </c>
      <c r="H10" s="93">
        <f t="shared" si="2"/>
        <v>45753</v>
      </c>
      <c r="I10" s="53">
        <v>8.02</v>
      </c>
      <c r="J10" s="55">
        <f>IFERROR(Inv_SY!J12/Inv_SY!$Y12-1,"")</f>
        <v>-0.23970087854643718</v>
      </c>
      <c r="K10" s="55">
        <f>IFERROR(Inv_SY!K12/Inv_SY!$Y12-1,"")</f>
        <v>-0.23844430117189253</v>
      </c>
      <c r="L10" s="55">
        <f>IFERROR(Inv_SY!L12/Inv_SY!$Y12-1,"")</f>
        <v>-1</v>
      </c>
      <c r="M10" s="55">
        <f>IFERROR(Inv_SY!M12/Inv_SY!$Y12-1,"")</f>
        <v>-0.22950974793472123</v>
      </c>
      <c r="N10" s="55">
        <f>IFERROR(Inv_SY!N12/Inv_SY!$Y12-1,"")</f>
        <v>0.61201024142180405</v>
      </c>
      <c r="O10" s="55">
        <f>IFERROR(Inv_SY!O12/Inv_SY!$Y12-1,"")</f>
        <v>0.58330923597899731</v>
      </c>
      <c r="P10" s="55">
        <f>IFERROR(Inv_SY!P12/Inv_SY!$Y12-1,"")</f>
        <v>0.58653765562707583</v>
      </c>
      <c r="Q10" s="55">
        <f>IFERROR(Inv_SY!Q12/Inv_SY!$Y12-1,"")</f>
        <v>-1</v>
      </c>
      <c r="R10" s="55">
        <f>IFERROR(Inv_SY!R12/Inv_SY!$Y12-1,"")</f>
        <v>0.23340095190753529</v>
      </c>
      <c r="S10" s="55">
        <f>IFERROR(Inv_SY!S12/Inv_SY!$Y12-1,"")</f>
        <v>0.2546392675432958</v>
      </c>
      <c r="T10" s="55">
        <f>IFERROR(Inv_SY!T12/Inv_SY!$Y12-1,"")</f>
        <v>0.23099681184565823</v>
      </c>
      <c r="U10" s="55">
        <f>IFERROR(Inv_SY!U12/Inv_SY!$Y12-1,"")</f>
        <v>0.2051512747401516</v>
      </c>
      <c r="V10" s="55">
        <f>IFERROR(Inv_SY!J12/Inv_SY!$Z12-1,"")</f>
        <v>-0.38177378340086765</v>
      </c>
      <c r="W10" s="55">
        <f>IFERROR(Inv_SY!K12/Inv_SY!$Z12-1,"")</f>
        <v>-0.38075201571206163</v>
      </c>
      <c r="X10" s="55">
        <f>IFERROR(Inv_SY!L12/Inv_SY!$Z12-1,"")</f>
        <v>-1</v>
      </c>
      <c r="Y10" s="55">
        <f>IFERROR(Inv_SY!M12/Inv_SY!$Z12-1,"")</f>
        <v>-0.37348701317692801</v>
      </c>
      <c r="Z10" s="55">
        <f>IFERROR(Inv_SY!N12/Inv_SY!$Z12-1,"")</f>
        <v>0.31078277555806033</v>
      </c>
      <c r="AA10" s="55">
        <f>IFERROR(Inv_SY!O12/Inv_SY!$Z12-1,"")</f>
        <v>0.28744496875700221</v>
      </c>
      <c r="AB10" s="55">
        <f>IFERROR(Inv_SY!P12/Inv_SY!$Z12-1,"")</f>
        <v>0.29007011142560102</v>
      </c>
      <c r="AC10" s="55">
        <f>IFERROR(Inv_SY!Q12/Inv_SY!$Z12-1,"")</f>
        <v>-1</v>
      </c>
      <c r="AD10" s="55">
        <f>IFERROR(Inv_SY!R12/Inv_SY!$Z12-1,"")</f>
        <v>2.9221164819364098E-3</v>
      </c>
      <c r="AE10" s="55">
        <f>IFERROR(Inv_SY!S12/Inv_SY!$Z12-1,"")</f>
        <v>2.0191745174038322E-2</v>
      </c>
      <c r="AF10" s="55">
        <f>IFERROR(Inv_SY!T12/Inv_SY!$Z12-1,"")</f>
        <v>9.6722481799882409E-4</v>
      </c>
      <c r="AG10" s="55">
        <f>IFERROR(Inv_SY!U12/Inv_SY!$Z12-1,"")</f>
        <v>-2.0048699270091563E-2</v>
      </c>
      <c r="AH10" s="55">
        <f>IFERROR(Inv_SY!V12/Inv_SY!$Y12-1,"")</f>
        <v>-0.42727100305580712</v>
      </c>
      <c r="AI10" s="55">
        <f>IFERROR(Inv_SY!W12/Inv_SY!$Y12-1,"")</f>
        <v>0.19746369136337427</v>
      </c>
      <c r="AJ10" s="55">
        <f>IFERROR(Inv_SY!X12/Inv_SY!$Y12-1,"")</f>
        <v>0.22980731169243285</v>
      </c>
      <c r="AK10" s="55">
        <f>IFERROR(Inv_SY!V12/Inv_SY!$Z12-1,"")</f>
        <v>-0.53429371292644512</v>
      </c>
      <c r="AL10" s="55">
        <f>IFERROR(Inv_SY!W12/Inv_SY!$Z12-1,"")</f>
        <v>-2.6299746327372198E-2</v>
      </c>
      <c r="AM10" s="55">
        <f>IFERROR(Inv_SY!X12/Inv_SY!$Z12-1,"")</f>
        <v>0</v>
      </c>
    </row>
    <row r="11" spans="1:39" x14ac:dyDescent="0.3">
      <c r="A11" s="53">
        <f>YEAR(Table5[[#This Row],[Date]])+IF(MONTH(Table5[[#This Row],[Date]])&gt;=4,1,0)</f>
        <v>2026</v>
      </c>
      <c r="B11" s="53">
        <v>4</v>
      </c>
      <c r="C11" s="92">
        <f>YEAR(Table5[[#This Row],[Date]])</f>
        <v>2025</v>
      </c>
      <c r="D11" s="53" t="s">
        <v>317</v>
      </c>
      <c r="E11" s="53" t="s">
        <v>317</v>
      </c>
      <c r="F11" s="94" t="str">
        <f>TEXT(Table5[[#This Row],[Date]],"mmm-yy")</f>
        <v>Apr-25</v>
      </c>
      <c r="G11" s="92">
        <f t="shared" si="3"/>
        <v>30</v>
      </c>
      <c r="H11" s="93">
        <f t="shared" si="2"/>
        <v>45754</v>
      </c>
      <c r="I11" s="53">
        <v>8.02</v>
      </c>
      <c r="J11" s="55">
        <f>IFERROR(Inv_SY!J13/Inv_SY!$Y13-1,"")</f>
        <v>0.11230806105632696</v>
      </c>
      <c r="K11" s="55">
        <f>IFERROR(Inv_SY!K13/Inv_SY!$Y13-1,"")</f>
        <v>9.02301763951181E-2</v>
      </c>
      <c r="L11" s="55">
        <f>IFERROR(Inv_SY!L13/Inv_SY!$Y13-1,"")</f>
        <v>-1</v>
      </c>
      <c r="M11" s="55">
        <f>IFERROR(Inv_SY!M13/Inv_SY!$Y13-1,"")</f>
        <v>7.2858693298593069E-2</v>
      </c>
      <c r="N11" s="55">
        <f>IFERROR(Inv_SY!N13/Inv_SY!$Y13-1,"")</f>
        <v>0.38801899754267999</v>
      </c>
      <c r="O11" s="55">
        <f>IFERROR(Inv_SY!O13/Inv_SY!$Y13-1,"")</f>
        <v>0.35627486589865476</v>
      </c>
      <c r="P11" s="55">
        <f>IFERROR(Inv_SY!P13/Inv_SY!$Y13-1,"")</f>
        <v>0.35836149524163496</v>
      </c>
      <c r="Q11" s="55">
        <f>IFERROR(Inv_SY!Q13/Inv_SY!$Y13-1,"")</f>
        <v>-1</v>
      </c>
      <c r="R11" s="55">
        <f>IFERROR(Inv_SY!R13/Inv_SY!$Y13-1,"")</f>
        <v>0.15744189053857505</v>
      </c>
      <c r="S11" s="55">
        <f>IFERROR(Inv_SY!S13/Inv_SY!$Y13-1,"")</f>
        <v>0.17656588990322053</v>
      </c>
      <c r="T11" s="55">
        <f>IFERROR(Inv_SY!T13/Inv_SY!$Y13-1,"")</f>
        <v>0.13914055582224827</v>
      </c>
      <c r="U11" s="55">
        <f>IFERROR(Inv_SY!U13/Inv_SY!$Y13-1,"")</f>
        <v>0.14904900749325489</v>
      </c>
      <c r="V11" s="55">
        <f>IFERROR(Inv_SY!J13/Inv_SY!$Z13-1,"")</f>
        <v>-3.6457518089744068E-2</v>
      </c>
      <c r="W11" s="55">
        <f>IFERROR(Inv_SY!K13/Inv_SY!$Z13-1,"")</f>
        <v>-5.558259730708548E-2</v>
      </c>
      <c r="X11" s="55">
        <f>IFERROR(Inv_SY!L13/Inv_SY!$Z13-1,"")</f>
        <v>-1</v>
      </c>
      <c r="Y11" s="55">
        <f>IFERROR(Inv_SY!M13/Inv_SY!$Z13-1,"")</f>
        <v>-7.0630732372646277E-2</v>
      </c>
      <c r="Z11" s="55">
        <f>IFERROR(Inv_SY!N13/Inv_SY!$Z13-1,"")</f>
        <v>0.2023784746833126</v>
      </c>
      <c r="AA11" s="55">
        <f>IFERROR(Inv_SY!O13/Inv_SY!$Z13-1,"")</f>
        <v>0.17487996014290497</v>
      </c>
      <c r="AB11" s="55">
        <f>IFERROR(Inv_SY!P13/Inv_SY!$Z13-1,"")</f>
        <v>0.17668751336161725</v>
      </c>
      <c r="AC11" s="55">
        <f>IFERROR(Inv_SY!Q13/Inv_SY!$Z13-1,"")</f>
        <v>-1</v>
      </c>
      <c r="AD11" s="55">
        <f>IFERROR(Inv_SY!R13/Inv_SY!$Z13-1,"")</f>
        <v>2.6398899036312873E-3</v>
      </c>
      <c r="AE11" s="55">
        <f>IFERROR(Inv_SY!S13/Inv_SY!$Z13-1,"")</f>
        <v>1.9206151047474362E-2</v>
      </c>
      <c r="AF11" s="55">
        <f>IFERROR(Inv_SY!T13/Inv_SY!$Z13-1,"")</f>
        <v>-1.3213733829071983E-2</v>
      </c>
      <c r="AG11" s="55">
        <f>IFERROR(Inv_SY!U13/Inv_SY!$Z13-1,"")</f>
        <v>-4.630487470232536E-3</v>
      </c>
      <c r="AH11" s="55">
        <f>IFERROR(Inv_SY!V13/Inv_SY!$Y13-1,"")</f>
        <v>-0.1817736737482929</v>
      </c>
      <c r="AI11" s="55">
        <f>IFERROR(Inv_SY!W13/Inv_SY!$Y13-1,"")</f>
        <v>2.7379257374312127E-2</v>
      </c>
      <c r="AJ11" s="55">
        <f>IFERROR(Inv_SY!X13/Inv_SY!$Y13-1,"")</f>
        <v>0.15439441637398099</v>
      </c>
      <c r="AK11" s="55">
        <f>IFERROR(Inv_SY!V13/Inv_SY!$Z13-1,"")</f>
        <v>-0.29120730779190451</v>
      </c>
      <c r="AL11" s="55">
        <f>IFERROR(Inv_SY!W13/Inv_SY!$Z13-1,"")</f>
        <v>-0.11002752369387814</v>
      </c>
      <c r="AM11" s="55">
        <f>IFERROR(Inv_SY!X13/Inv_SY!$Z13-1,"")</f>
        <v>0</v>
      </c>
    </row>
    <row r="12" spans="1:39" x14ac:dyDescent="0.3">
      <c r="A12" s="53">
        <f>YEAR(Table5[[#This Row],[Date]])+IF(MONTH(Table5[[#This Row],[Date]])&gt;=4,1,0)</f>
        <v>2026</v>
      </c>
      <c r="B12" s="53">
        <v>4</v>
      </c>
      <c r="C12" s="92">
        <f>YEAR(Table5[[#This Row],[Date]])</f>
        <v>2025</v>
      </c>
      <c r="D12" s="53" t="s">
        <v>317</v>
      </c>
      <c r="E12" s="53" t="s">
        <v>317</v>
      </c>
      <c r="F12" s="94" t="str">
        <f>TEXT(Table5[[#This Row],[Date]],"mmm-yy")</f>
        <v>Apr-25</v>
      </c>
      <c r="G12" s="92">
        <f t="shared" si="3"/>
        <v>30</v>
      </c>
      <c r="H12" s="93">
        <f t="shared" si="2"/>
        <v>45755</v>
      </c>
      <c r="I12" s="53">
        <v>8.02</v>
      </c>
      <c r="J12" s="55">
        <f>IFERROR(Inv_SY!J14/Inv_SY!$Y14-1,"")</f>
        <v>0.32615081962535553</v>
      </c>
      <c r="K12" s="55">
        <f>IFERROR(Inv_SY!K14/Inv_SY!$Y14-1,"")</f>
        <v>0.32598179278046713</v>
      </c>
      <c r="L12" s="55">
        <f>IFERROR(Inv_SY!L14/Inv_SY!$Y14-1,"")</f>
        <v>-1</v>
      </c>
      <c r="M12" s="55">
        <f>IFERROR(Inv_SY!M14/Inv_SY!$Y14-1,"")</f>
        <v>0.33311311585528225</v>
      </c>
      <c r="N12" s="55">
        <f>IFERROR(Inv_SY!N14/Inv_SY!$Y14-1,"")</f>
        <v>0.3364149055079062</v>
      </c>
      <c r="O12" s="55">
        <f>IFERROR(Inv_SY!O14/Inv_SY!$Y14-1,"")</f>
        <v>0.30191791193212669</v>
      </c>
      <c r="P12" s="55">
        <f>IFERROR(Inv_SY!P14/Inv_SY!$Y14-1,"")</f>
        <v>0.30418564258551473</v>
      </c>
      <c r="Q12" s="55">
        <f>IFERROR(Inv_SY!Q14/Inv_SY!$Y14-1,"")</f>
        <v>-1</v>
      </c>
      <c r="R12" s="55">
        <f>IFERROR(Inv_SY!R14/Inv_SY!$Y14-1,"")</f>
        <v>4.3417387852360045E-2</v>
      </c>
      <c r="S12" s="55">
        <f>IFERROR(Inv_SY!S14/Inv_SY!$Y14-1,"")</f>
        <v>3.4012568367365992E-2</v>
      </c>
      <c r="T12" s="55">
        <f>IFERROR(Inv_SY!T14/Inv_SY!$Y14-1,"")</f>
        <v>1.7205503793147336E-3</v>
      </c>
      <c r="U12" s="55">
        <f>IFERROR(Inv_SY!U14/Inv_SY!$Y14-1,"")</f>
        <v>-6.6343329245068805E-3</v>
      </c>
      <c r="V12" s="55">
        <f>IFERROR(Inv_SY!J14/Inv_SY!$Z14-1,"")</f>
        <v>0.30390976757036992</v>
      </c>
      <c r="W12" s="55">
        <f>IFERROR(Inv_SY!K14/Inv_SY!$Z14-1,"")</f>
        <v>0.30374357549721354</v>
      </c>
      <c r="X12" s="55">
        <f>IFERROR(Inv_SY!L14/Inv_SY!$Z14-1,"")</f>
        <v>-1</v>
      </c>
      <c r="Y12" s="55">
        <f>IFERROR(Inv_SY!M14/Inv_SY!$Z14-1,"")</f>
        <v>0.31075529820276393</v>
      </c>
      <c r="Z12" s="55">
        <f>IFERROR(Inv_SY!N14/Inv_SY!$Z14-1,"")</f>
        <v>0.31400171310128622</v>
      </c>
      <c r="AA12" s="55">
        <f>IFERROR(Inv_SY!O14/Inv_SY!$Z14-1,"")</f>
        <v>0.28008327320017568</v>
      </c>
      <c r="AB12" s="55">
        <f>IFERROR(Inv_SY!P14/Inv_SY!$Z14-1,"")</f>
        <v>0.2823129714406869</v>
      </c>
      <c r="AC12" s="55">
        <f>IFERROR(Inv_SY!Q14/Inv_SY!$Z14-1,"")</f>
        <v>-1</v>
      </c>
      <c r="AD12" s="55">
        <f>IFERROR(Inv_SY!R14/Inv_SY!$Z14-1,"")</f>
        <v>2.5918095845092415E-2</v>
      </c>
      <c r="AE12" s="55">
        <f>IFERROR(Inv_SY!S14/Inv_SY!$Z14-1,"")</f>
        <v>1.6671005840514841E-2</v>
      </c>
      <c r="AF12" s="55">
        <f>IFERROR(Inv_SY!T14/Inv_SY!$Z14-1,"")</f>
        <v>-1.5079438412178181E-2</v>
      </c>
      <c r="AG12" s="55">
        <f>IFERROR(Inv_SY!U14/Inv_SY!$Z14-1,"")</f>
        <v>-2.3294200855141667E-2</v>
      </c>
      <c r="AH12" s="55">
        <f>IFERROR(Inv_SY!V14/Inv_SY!$Y14-1,"")</f>
        <v>-4.3352774827903895E-3</v>
      </c>
      <c r="AI12" s="55">
        <f>IFERROR(Inv_SY!W14/Inv_SY!$Y14-1,"")</f>
        <v>-1.2721924332967149E-2</v>
      </c>
      <c r="AJ12" s="55">
        <f>IFERROR(Inv_SY!X14/Inv_SY!$Y14-1,"")</f>
        <v>1.7057201815757761E-2</v>
      </c>
      <c r="AK12" s="55">
        <f>IFERROR(Inv_SY!V14/Inv_SY!$Z14-1,"")</f>
        <v>-2.103370317849973E-2</v>
      </c>
      <c r="AL12" s="55">
        <f>IFERROR(Inv_SY!W14/Inv_SY!$Z14-1,"")</f>
        <v>-2.9279696457151116E-2</v>
      </c>
      <c r="AM12" s="55">
        <f>IFERROR(Inv_SY!X14/Inv_SY!$Z14-1,"")</f>
        <v>0</v>
      </c>
    </row>
    <row r="13" spans="1:39" x14ac:dyDescent="0.3">
      <c r="A13" s="53">
        <f>YEAR(Table5[[#This Row],[Date]])+IF(MONTH(Table5[[#This Row],[Date]])&gt;=4,1,0)</f>
        <v>2026</v>
      </c>
      <c r="B13" s="53">
        <v>4</v>
      </c>
      <c r="C13" s="92">
        <f>YEAR(Table5[[#This Row],[Date]])</f>
        <v>2025</v>
      </c>
      <c r="D13" s="53" t="s">
        <v>317</v>
      </c>
      <c r="E13" s="53" t="s">
        <v>317</v>
      </c>
      <c r="F13" s="94" t="str">
        <f>TEXT(Table5[[#This Row],[Date]],"mmm-yy")</f>
        <v>Apr-25</v>
      </c>
      <c r="G13" s="92">
        <f t="shared" si="3"/>
        <v>30</v>
      </c>
      <c r="H13" s="93">
        <f t="shared" si="2"/>
        <v>45756</v>
      </c>
      <c r="I13" s="53">
        <v>8.02</v>
      </c>
      <c r="J13" s="55">
        <f>IFERROR(Inv_SY!J15/Inv_SY!$Y15-1,"")</f>
        <v>0.31927090805450309</v>
      </c>
      <c r="K13" s="55">
        <f>IFERROR(Inv_SY!K15/Inv_SY!$Y15-1,"")</f>
        <v>0.34895385538644286</v>
      </c>
      <c r="L13" s="55">
        <f>IFERROR(Inv_SY!L15/Inv_SY!$Y15-1,"")</f>
        <v>-1</v>
      </c>
      <c r="M13" s="55">
        <f>IFERROR(Inv_SY!M15/Inv_SY!$Y15-1,"")</f>
        <v>0.30104080097509311</v>
      </c>
      <c r="N13" s="55">
        <f>IFERROR(Inv_SY!N15/Inv_SY!$Y15-1,"")</f>
        <v>0.26083041417543762</v>
      </c>
      <c r="O13" s="55">
        <f>IFERROR(Inv_SY!O15/Inv_SY!$Y15-1,"")</f>
        <v>0.28296353604597124</v>
      </c>
      <c r="P13" s="55">
        <f>IFERROR(Inv_SY!P15/Inv_SY!$Y15-1,"")</f>
        <v>0.25526419751454466</v>
      </c>
      <c r="Q13" s="55">
        <f>IFERROR(Inv_SY!Q15/Inv_SY!$Y15-1,"")</f>
        <v>-1</v>
      </c>
      <c r="R13" s="55">
        <f>IFERROR(Inv_SY!R15/Inv_SY!$Y15-1,"")</f>
        <v>5.7688658290457218E-2</v>
      </c>
      <c r="S13" s="55">
        <f>IFERROR(Inv_SY!S15/Inv_SY!$Y15-1,"")</f>
        <v>0.1007657682291172</v>
      </c>
      <c r="T13" s="55">
        <f>IFERROR(Inv_SY!T15/Inv_SY!$Y15-1,"")</f>
        <v>4.1747382709436121E-2</v>
      </c>
      <c r="U13" s="55">
        <f>IFERROR(Inv_SY!U15/Inv_SY!$Y15-1,"")</f>
        <v>3.2972825135081818E-2</v>
      </c>
      <c r="V13" s="55">
        <f>IFERROR(Inv_SY!J15/Inv_SY!$Z15-1,"")</f>
        <v>0.24803101024271812</v>
      </c>
      <c r="W13" s="55">
        <f>IFERROR(Inv_SY!K15/Inv_SY!$Z15-1,"")</f>
        <v>0.27611109487089491</v>
      </c>
      <c r="X13" s="55">
        <f>IFERROR(Inv_SY!L15/Inv_SY!$Z15-1,"")</f>
        <v>-1</v>
      </c>
      <c r="Y13" s="55">
        <f>IFERROR(Inv_SY!M15/Inv_SY!$Z15-1,"")</f>
        <v>0.23078531884132092</v>
      </c>
      <c r="Z13" s="55">
        <f>IFERROR(Inv_SY!N15/Inv_SY!$Z15-1,"")</f>
        <v>0.19274627064171401</v>
      </c>
      <c r="AA13" s="55">
        <f>IFERROR(Inv_SY!O15/Inv_SY!$Z15-1,"")</f>
        <v>0.21368421619881106</v>
      </c>
      <c r="AB13" s="55">
        <f>IFERROR(Inv_SY!P15/Inv_SY!$Z15-1,"")</f>
        <v>0.1874806265953608</v>
      </c>
      <c r="AC13" s="55">
        <f>IFERROR(Inv_SY!Q15/Inv_SY!$Z15-1,"")</f>
        <v>-1</v>
      </c>
      <c r="AD13" s="55">
        <f>IFERROR(Inv_SY!R15/Inv_SY!$Z15-1,"")</f>
        <v>5.7405698054702192E-4</v>
      </c>
      <c r="AE13" s="55">
        <f>IFERROR(Inv_SY!S15/Inv_SY!$Z15-1,"")</f>
        <v>4.1325026858570979E-2</v>
      </c>
      <c r="AF13" s="55">
        <f>IFERROR(Inv_SY!T15/Inv_SY!$Z15-1,"")</f>
        <v>-1.4506398554759548E-2</v>
      </c>
      <c r="AG13" s="55">
        <f>IFERROR(Inv_SY!U15/Inv_SY!$Z15-1,"")</f>
        <v>-2.2807134883511937E-2</v>
      </c>
      <c r="AH13" s="55">
        <f>IFERROR(Inv_SY!V15/Inv_SY!$Y15-1,"")</f>
        <v>-8.4348465139496565E-3</v>
      </c>
      <c r="AI13" s="55">
        <f>IFERROR(Inv_SY!W15/Inv_SY!$Y15-1,"")</f>
        <v>-4.86469865712158E-2</v>
      </c>
      <c r="AJ13" s="55">
        <f>IFERROR(Inv_SY!X15/Inv_SY!$Y15-1,"")</f>
        <v>5.7081833085165234E-2</v>
      </c>
      <c r="AK13" s="55">
        <f>IFERROR(Inv_SY!V15/Inv_SY!$Z15-1,"")</f>
        <v>-6.1978815214239424E-2</v>
      </c>
      <c r="AL13" s="55">
        <f>IFERROR(Inv_SY!W15/Inv_SY!$Z15-1,"")</f>
        <v>-0.10001952199651776</v>
      </c>
      <c r="AM13" s="55">
        <f>IFERROR(Inv_SY!X15/Inv_SY!$Z15-1,"")</f>
        <v>0</v>
      </c>
    </row>
    <row r="14" spans="1:39" x14ac:dyDescent="0.3">
      <c r="A14" s="53">
        <f>YEAR(Table5[[#This Row],[Date]])+IF(MONTH(Table5[[#This Row],[Date]])&gt;=4,1,0)</f>
        <v>2026</v>
      </c>
      <c r="B14" s="53">
        <v>4</v>
      </c>
      <c r="C14" s="92">
        <f>YEAR(Table5[[#This Row],[Date]])</f>
        <v>2025</v>
      </c>
      <c r="D14" s="53" t="s">
        <v>317</v>
      </c>
      <c r="E14" s="53" t="s">
        <v>317</v>
      </c>
      <c r="F14" s="94" t="str">
        <f>TEXT(Table5[[#This Row],[Date]],"mmm-yy")</f>
        <v>Apr-25</v>
      </c>
      <c r="G14" s="92">
        <f t="shared" si="3"/>
        <v>30</v>
      </c>
      <c r="H14" s="93">
        <f t="shared" si="2"/>
        <v>45757</v>
      </c>
      <c r="I14" s="53">
        <v>8.02</v>
      </c>
      <c r="J14" s="55">
        <f>IFERROR(Inv_SY!J16/Inv_SY!$Y16-1,"")</f>
        <v>0.33481169294111579</v>
      </c>
      <c r="K14" s="55">
        <f>IFERROR(Inv_SY!K16/Inv_SY!$Y16-1,"")</f>
        <v>0.33495679694078317</v>
      </c>
      <c r="L14" s="55">
        <f>IFERROR(Inv_SY!L16/Inv_SY!$Y16-1,"")</f>
        <v>-1</v>
      </c>
      <c r="M14" s="55">
        <f>IFERROR(Inv_SY!M16/Inv_SY!$Y16-1,"")</f>
        <v>0.34125615311682367</v>
      </c>
      <c r="N14" s="55">
        <f>IFERROR(Inv_SY!N16/Inv_SY!$Y16-1,"")</f>
        <v>0.30511175871409479</v>
      </c>
      <c r="O14" s="55">
        <f>IFERROR(Inv_SY!O16/Inv_SY!$Y16-1,"")</f>
        <v>0.29747952620699492</v>
      </c>
      <c r="P14" s="55">
        <f>IFERROR(Inv_SY!P16/Inv_SY!$Y16-1,"")</f>
        <v>0.32841403380823597</v>
      </c>
      <c r="Q14" s="55">
        <f>IFERROR(Inv_SY!Q16/Inv_SY!$Y16-1,"")</f>
        <v>-1</v>
      </c>
      <c r="R14" s="55">
        <f>IFERROR(Inv_SY!R16/Inv_SY!$Y16-1,"")</f>
        <v>1.2642788033103036E-2</v>
      </c>
      <c r="S14" s="55">
        <f>IFERROR(Inv_SY!S16/Inv_SY!$Y16-1,"")</f>
        <v>3.0575683473911486E-2</v>
      </c>
      <c r="T14" s="55">
        <f>IFERROR(Inv_SY!T16/Inv_SY!$Y16-1,"")</f>
        <v>2.4602078964862883E-2</v>
      </c>
      <c r="U14" s="55">
        <f>IFERROR(Inv_SY!U16/Inv_SY!$Y16-1,"")</f>
        <v>-9.8668422901865283E-3</v>
      </c>
      <c r="V14" s="55">
        <f>IFERROR(Inv_SY!J16/Inv_SY!$Z16-1,"")</f>
        <v>0.31702957993117087</v>
      </c>
      <c r="W14" s="55">
        <f>IFERROR(Inv_SY!K16/Inv_SY!$Z16-1,"")</f>
        <v>0.31717275088235386</v>
      </c>
      <c r="X14" s="55">
        <f>IFERROR(Inv_SY!L16/Inv_SY!$Z16-1,"")</f>
        <v>-1</v>
      </c>
      <c r="Y14" s="55">
        <f>IFERROR(Inv_SY!M16/Inv_SY!$Z16-1,"")</f>
        <v>0.32338818820751447</v>
      </c>
      <c r="Z14" s="55">
        <f>IFERROR(Inv_SY!N16/Inv_SY!$Z16-1,"")</f>
        <v>0.28772530270176677</v>
      </c>
      <c r="AA14" s="55">
        <f>IFERROR(Inv_SY!O16/Inv_SY!$Z16-1,"")</f>
        <v>0.2801947453760254</v>
      </c>
      <c r="AB14" s="55">
        <f>IFERROR(Inv_SY!P16/Inv_SY!$Z16-1,"")</f>
        <v>0.31071714922287086</v>
      </c>
      <c r="AC14" s="55">
        <f>IFERROR(Inv_SY!Q16/Inv_SY!$Z16-1,"")</f>
        <v>-1</v>
      </c>
      <c r="AD14" s="55">
        <f>IFERROR(Inv_SY!R16/Inv_SY!$Z16-1,"")</f>
        <v>-8.4745077041981087E-4</v>
      </c>
      <c r="AE14" s="55">
        <f>IFERROR(Inv_SY!S16/Inv_SY!$Z16-1,"")</f>
        <v>1.6846545974033011E-2</v>
      </c>
      <c r="AF14" s="55">
        <f>IFERROR(Inv_SY!T16/Inv_SY!$Z16-1,"")</f>
        <v>1.0952520712767644E-2</v>
      </c>
      <c r="AG14" s="55">
        <f>IFERROR(Inv_SY!U16/Inv_SY!$Z16-1,"")</f>
        <v>-2.3057211986825199E-2</v>
      </c>
      <c r="AH14" s="55">
        <f>IFERROR(Inv_SY!V16/Inv_SY!$Y16-1,"")</f>
        <v>2.1033427616738987E-3</v>
      </c>
      <c r="AI14" s="55">
        <f>IFERROR(Inv_SY!W16/Inv_SY!$Y16-1,"")</f>
        <v>-1.5605023575003929E-2</v>
      </c>
      <c r="AJ14" s="55">
        <f>IFERROR(Inv_SY!X16/Inv_SY!$Y16-1,"")</f>
        <v>1.3501680813330141E-2</v>
      </c>
      <c r="AK14" s="55">
        <f>IFERROR(Inv_SY!V16/Inv_SY!$Z16-1,"")</f>
        <v>-1.1246491512978185E-2</v>
      </c>
      <c r="AL14" s="55">
        <f>IFERROR(Inv_SY!W16/Inv_SY!$Z16-1,"")</f>
        <v>-2.8718950288248224E-2</v>
      </c>
      <c r="AM14" s="55">
        <f>IFERROR(Inv_SY!X16/Inv_SY!$Z16-1,"")</f>
        <v>0</v>
      </c>
    </row>
    <row r="15" spans="1:39" x14ac:dyDescent="0.3">
      <c r="A15" s="53">
        <f>YEAR(Table5[[#This Row],[Date]])+IF(MONTH(Table5[[#This Row],[Date]])&gt;=4,1,0)</f>
        <v>2026</v>
      </c>
      <c r="B15" s="53">
        <v>4</v>
      </c>
      <c r="C15" s="92">
        <f>YEAR(Table5[[#This Row],[Date]])</f>
        <v>2025</v>
      </c>
      <c r="D15" s="53" t="s">
        <v>317</v>
      </c>
      <c r="E15" s="53" t="s">
        <v>317</v>
      </c>
      <c r="F15" s="94" t="str">
        <f>TEXT(Table5[[#This Row],[Date]],"mmm-yy")</f>
        <v>Apr-25</v>
      </c>
      <c r="G15" s="92">
        <f t="shared" si="3"/>
        <v>30</v>
      </c>
      <c r="H15" s="93">
        <f t="shared" si="2"/>
        <v>45758</v>
      </c>
      <c r="I15" s="53">
        <v>8.02</v>
      </c>
      <c r="J15" s="55">
        <f>IFERROR(Inv_SY!J17/Inv_SY!$Y17-1,"")</f>
        <v>0.32413128916763978</v>
      </c>
      <c r="K15" s="55">
        <f>IFERROR(Inv_SY!K17/Inv_SY!$Y17-1,"")</f>
        <v>0.32473492305219853</v>
      </c>
      <c r="L15" s="55">
        <f>IFERROR(Inv_SY!L17/Inv_SY!$Y17-1,"")</f>
        <v>-1</v>
      </c>
      <c r="M15" s="55">
        <f>IFERROR(Inv_SY!M17/Inv_SY!$Y17-1,"")</f>
        <v>0.3232220057447095</v>
      </c>
      <c r="N15" s="55">
        <f>IFERROR(Inv_SY!N17/Inv_SY!$Y17-1,"")</f>
        <v>0.29132626145124574</v>
      </c>
      <c r="O15" s="55">
        <f>IFERROR(Inv_SY!O17/Inv_SY!$Y17-1,"")</f>
        <v>0.26380946238908232</v>
      </c>
      <c r="P15" s="55">
        <f>IFERROR(Inv_SY!P17/Inv_SY!$Y17-1,"")</f>
        <v>0.26574208038341496</v>
      </c>
      <c r="Q15" s="55">
        <f>IFERROR(Inv_SY!Q17/Inv_SY!$Y17-1,"")</f>
        <v>-1</v>
      </c>
      <c r="R15" s="55">
        <f>IFERROR(Inv_SY!R17/Inv_SY!$Y17-1,"")</f>
        <v>5.2752051757363194E-2</v>
      </c>
      <c r="S15" s="55">
        <f>IFERROR(Inv_SY!S17/Inv_SY!$Y17-1,"")</f>
        <v>7.0868855847127321E-2</v>
      </c>
      <c r="T15" s="55">
        <f>IFERROR(Inv_SY!T17/Inv_SY!$Y17-1,"")</f>
        <v>3.7407942150240237E-2</v>
      </c>
      <c r="U15" s="55">
        <f>IFERROR(Inv_SY!U17/Inv_SY!$Y17-1,"")</f>
        <v>4.6472036981105136E-2</v>
      </c>
      <c r="V15" s="55">
        <f>IFERROR(Inv_SY!J17/Inv_SY!$Z17-1,"")</f>
        <v>0.26008438523341271</v>
      </c>
      <c r="W15" s="55">
        <f>IFERROR(Inv_SY!K17/Inv_SY!$Z17-1,"")</f>
        <v>0.26065882195169943</v>
      </c>
      <c r="X15" s="55">
        <f>IFERROR(Inv_SY!L17/Inv_SY!$Z17-1,"")</f>
        <v>-1</v>
      </c>
      <c r="Y15" s="55">
        <f>IFERROR(Inv_SY!M17/Inv_SY!$Z17-1,"")</f>
        <v>0.25921908293872398</v>
      </c>
      <c r="Z15" s="55">
        <f>IFERROR(Inv_SY!N17/Inv_SY!$Z17-1,"")</f>
        <v>0.22886610384338346</v>
      </c>
      <c r="AA15" s="55">
        <f>IFERROR(Inv_SY!O17/Inv_SY!$Z17-1,"")</f>
        <v>0.20268026478535961</v>
      </c>
      <c r="AB15" s="55">
        <f>IFERROR(Inv_SY!P17/Inv_SY!$Z17-1,"")</f>
        <v>0.20451940398341506</v>
      </c>
      <c r="AC15" s="55">
        <f>IFERROR(Inv_SY!Q17/Inv_SY!$Z17-1,"")</f>
        <v>-1</v>
      </c>
      <c r="AD15" s="55">
        <f>IFERROR(Inv_SY!R17/Inv_SY!$Z17-1,"")</f>
        <v>1.8314896672939618E-3</v>
      </c>
      <c r="AE15" s="55">
        <f>IFERROR(Inv_SY!S17/Inv_SY!$Z17-1,"")</f>
        <v>1.9072002092761275E-2</v>
      </c>
      <c r="AF15" s="55">
        <f>IFERROR(Inv_SY!T17/Inv_SY!$Z17-1,"")</f>
        <v>-1.2770440729955035E-2</v>
      </c>
      <c r="AG15" s="55">
        <f>IFERROR(Inv_SY!U17/Inv_SY!$Z17-1,"")</f>
        <v>-4.144767085593748E-3</v>
      </c>
      <c r="AH15" s="55">
        <f>IFERROR(Inv_SY!V17/Inv_SY!$Y17-1,"")</f>
        <v>-7.6445229677487569E-3</v>
      </c>
      <c r="AI15" s="55">
        <f>IFERROR(Inv_SY!W17/Inv_SY!$Y17-1,"")</f>
        <v>-4.3182949132354653E-2</v>
      </c>
      <c r="AJ15" s="55">
        <f>IFERROR(Inv_SY!X17/Inv_SY!$Y17-1,"")</f>
        <v>5.0827472100103188E-2</v>
      </c>
      <c r="AK15" s="55">
        <f>IFERROR(Inv_SY!V17/Inv_SY!$Z17-1,"")</f>
        <v>-5.564376324402176E-2</v>
      </c>
      <c r="AL15" s="55">
        <f>IFERROR(Inv_SY!W17/Inv_SY!$Z17-1,"")</f>
        <v>-8.9463231337657989E-2</v>
      </c>
      <c r="AM15" s="55">
        <f>IFERROR(Inv_SY!X17/Inv_SY!$Z17-1,"")</f>
        <v>0</v>
      </c>
    </row>
    <row r="16" spans="1:39" x14ac:dyDescent="0.3">
      <c r="A16" s="53">
        <f>YEAR(Table5[[#This Row],[Date]])+IF(MONTH(Table5[[#This Row],[Date]])&gt;=4,1,0)</f>
        <v>2026</v>
      </c>
      <c r="B16" s="53">
        <v>4</v>
      </c>
      <c r="C16" s="92">
        <f>YEAR(Table5[[#This Row],[Date]])</f>
        <v>2025</v>
      </c>
      <c r="D16" s="53" t="s">
        <v>317</v>
      </c>
      <c r="E16" s="53" t="s">
        <v>317</v>
      </c>
      <c r="F16" s="94" t="str">
        <f>TEXT(Table5[[#This Row],[Date]],"mmm-yy")</f>
        <v>Apr-25</v>
      </c>
      <c r="G16" s="92">
        <f t="shared" si="3"/>
        <v>30</v>
      </c>
      <c r="H16" s="93">
        <f t="shared" si="2"/>
        <v>45759</v>
      </c>
      <c r="I16" s="53">
        <v>8.02</v>
      </c>
      <c r="J16" s="55">
        <f>IFERROR(Inv_SY!J18/Inv_SY!$Y18-1,"")</f>
        <v>0.34799341288103158</v>
      </c>
      <c r="K16" s="55">
        <f>IFERROR(Inv_SY!K18/Inv_SY!$Y18-1,"")</f>
        <v>0.36363358893984388</v>
      </c>
      <c r="L16" s="55">
        <f>IFERROR(Inv_SY!L18/Inv_SY!$Y18-1,"")</f>
        <v>-1</v>
      </c>
      <c r="M16" s="55">
        <f>IFERROR(Inv_SY!M18/Inv_SY!$Y18-1,"")</f>
        <v>0.32900638586489461</v>
      </c>
      <c r="N16" s="55">
        <f>IFERROR(Inv_SY!N18/Inv_SY!$Y18-1,"")</f>
        <v>0.21205920424154989</v>
      </c>
      <c r="O16" s="55">
        <f>IFERROR(Inv_SY!O18/Inv_SY!$Y18-1,"")</f>
        <v>0.21996082730703304</v>
      </c>
      <c r="P16" s="55">
        <f>IFERROR(Inv_SY!P18/Inv_SY!$Y18-1,"")</f>
        <v>0.20589967130074038</v>
      </c>
      <c r="Q16" s="55">
        <f>IFERROR(Inv_SY!Q18/Inv_SY!$Y18-1,"")</f>
        <v>-1</v>
      </c>
      <c r="R16" s="55">
        <f>IFERROR(Inv_SY!R18/Inv_SY!$Y18-1,"")</f>
        <v>8.2658098160163229E-2</v>
      </c>
      <c r="S16" s="55">
        <f>IFERROR(Inv_SY!S18/Inv_SY!$Y18-1,"")</f>
        <v>0.11484183028768435</v>
      </c>
      <c r="T16" s="55">
        <f>IFERROR(Inv_SY!T18/Inv_SY!$Y18-1,"")</f>
        <v>6.688412691449841E-2</v>
      </c>
      <c r="U16" s="55">
        <f>IFERROR(Inv_SY!U18/Inv_SY!$Y18-1,"")</f>
        <v>5.8686830721714545E-2</v>
      </c>
      <c r="V16" s="55">
        <f>IFERROR(Inv_SY!J18/Inv_SY!$Z18-1,"")</f>
        <v>0.24861947936576012</v>
      </c>
      <c r="W16" s="55">
        <f>IFERROR(Inv_SY!K18/Inv_SY!$Z18-1,"")</f>
        <v>0.26310666328011245</v>
      </c>
      <c r="X16" s="55">
        <f>IFERROR(Inv_SY!L18/Inv_SY!$Z18-1,"")</f>
        <v>-1</v>
      </c>
      <c r="Y16" s="55">
        <f>IFERROR(Inv_SY!M18/Inv_SY!$Z18-1,"")</f>
        <v>0.23103217399686882</v>
      </c>
      <c r="Z16" s="55">
        <f>IFERROR(Inv_SY!N18/Inv_SY!$Z18-1,"")</f>
        <v>0.12270632638034118</v>
      </c>
      <c r="AA16" s="55">
        <f>IFERROR(Inv_SY!O18/Inv_SY!$Z18-1,"")</f>
        <v>0.13002544261925641</v>
      </c>
      <c r="AB16" s="55">
        <f>IFERROR(Inv_SY!P18/Inv_SY!$Z18-1,"")</f>
        <v>0.11700087356417943</v>
      </c>
      <c r="AC16" s="55">
        <f>IFERROR(Inv_SY!Q18/Inv_SY!$Z18-1,"")</f>
        <v>-1</v>
      </c>
      <c r="AD16" s="55">
        <f>IFERROR(Inv_SY!R18/Inv_SY!$Z18-1,"")</f>
        <v>2.844656315226457E-3</v>
      </c>
      <c r="AE16" s="55">
        <f>IFERROR(Inv_SY!S18/Inv_SY!$Z18-1,"")</f>
        <v>3.265580707391269E-2</v>
      </c>
      <c r="AF16" s="55">
        <f>IFERROR(Inv_SY!T18/Inv_SY!$Z18-1,"")</f>
        <v>-1.1766459418787067E-2</v>
      </c>
      <c r="AG16" s="55">
        <f>IFERROR(Inv_SY!U18/Inv_SY!$Z18-1,"")</f>
        <v>-1.9359451792959725E-2</v>
      </c>
      <c r="AH16" s="55">
        <f>IFERROR(Inv_SY!V18/Inv_SY!$Y18-1,"")</f>
        <v>9.4119295486279064E-3</v>
      </c>
      <c r="AI16" s="55">
        <f>IFERROR(Inv_SY!W18/Inv_SY!$Y18-1,"")</f>
        <v>-8.8998973606076559E-2</v>
      </c>
      <c r="AJ16" s="55">
        <f>IFERROR(Inv_SY!X18/Inv_SY!$Y18-1,"")</f>
        <v>7.9587044057448653E-2</v>
      </c>
      <c r="AK16" s="55">
        <f>IFERROR(Inv_SY!V18/Inv_SY!$Z18-1,"")</f>
        <v>-6.5001812401415449E-2</v>
      </c>
      <c r="AL16" s="55">
        <f>IFERROR(Inv_SY!W18/Inv_SY!$Z18-1,"")</f>
        <v>-0.15615787406073589</v>
      </c>
      <c r="AM16" s="55">
        <f>IFERROR(Inv_SY!X18/Inv_SY!$Z18-1,"")</f>
        <v>0</v>
      </c>
    </row>
    <row r="17" spans="1:39" x14ac:dyDescent="0.3">
      <c r="A17" s="53">
        <f>YEAR(Table5[[#This Row],[Date]])+IF(MONTH(Table5[[#This Row],[Date]])&gt;=4,1,0)</f>
        <v>2026</v>
      </c>
      <c r="B17" s="53">
        <v>4</v>
      </c>
      <c r="C17" s="92">
        <f>YEAR(Table5[[#This Row],[Date]])</f>
        <v>2025</v>
      </c>
      <c r="D17" s="53" t="s">
        <v>317</v>
      </c>
      <c r="E17" s="53" t="s">
        <v>317</v>
      </c>
      <c r="F17" s="94" t="str">
        <f>TEXT(Table5[[#This Row],[Date]],"mmm-yy")</f>
        <v>Apr-25</v>
      </c>
      <c r="G17" s="92">
        <f t="shared" si="3"/>
        <v>30</v>
      </c>
      <c r="H17" s="93">
        <f t="shared" si="2"/>
        <v>45760</v>
      </c>
      <c r="I17" s="53">
        <v>8.02</v>
      </c>
      <c r="J17" s="55">
        <f>IFERROR(Inv_SY!J19/Inv_SY!$Y19-1,"")</f>
        <v>0.35383599063114768</v>
      </c>
      <c r="K17" s="55">
        <f>IFERROR(Inv_SY!K19/Inv_SY!$Y19-1,"")</f>
        <v>0.3545541713746343</v>
      </c>
      <c r="L17" s="55">
        <f>IFERROR(Inv_SY!L19/Inv_SY!$Y19-1,"")</f>
        <v>-1</v>
      </c>
      <c r="M17" s="55">
        <f>IFERROR(Inv_SY!M19/Inv_SY!$Y19-1,"")</f>
        <v>0.35396760528399462</v>
      </c>
      <c r="N17" s="55">
        <f>IFERROR(Inv_SY!N19/Inv_SY!$Y19-1,"")</f>
        <v>0.23063641885798303</v>
      </c>
      <c r="O17" s="55">
        <f>IFERROR(Inv_SY!O19/Inv_SY!$Y19-1,"")</f>
        <v>0.20279862011379746</v>
      </c>
      <c r="P17" s="55">
        <f>IFERROR(Inv_SY!P19/Inv_SY!$Y19-1,"")</f>
        <v>0.20462350560954268</v>
      </c>
      <c r="Q17" s="55">
        <f>IFERROR(Inv_SY!Q19/Inv_SY!$Y19-1,"")</f>
        <v>-1</v>
      </c>
      <c r="R17" s="55">
        <f>IFERROR(Inv_SY!R19/Inv_SY!$Y19-1,"")</f>
        <v>7.5076265866543146E-2</v>
      </c>
      <c r="S17" s="55">
        <f>IFERROR(Inv_SY!S19/Inv_SY!$Y19-1,"")</f>
        <v>9.4394858596976272E-2</v>
      </c>
      <c r="T17" s="55">
        <f>IFERROR(Inv_SY!T19/Inv_SY!$Y19-1,"")</f>
        <v>5.9993509384821619E-2</v>
      </c>
      <c r="U17" s="55">
        <f>IFERROR(Inv_SY!U19/Inv_SY!$Y19-1,"")</f>
        <v>7.1018701904426162E-2</v>
      </c>
      <c r="V17" s="55">
        <f>IFERROR(Inv_SY!J19/Inv_SY!$Z19-1,"")</f>
        <v>0.26049179872697992</v>
      </c>
      <c r="W17" s="55">
        <f>IFERROR(Inv_SY!K19/Inv_SY!$Z19-1,"")</f>
        <v>0.261160462393357</v>
      </c>
      <c r="X17" s="55">
        <f>IFERROR(Inv_SY!L19/Inv_SY!$Z19-1,"")</f>
        <v>-1</v>
      </c>
      <c r="Y17" s="55">
        <f>IFERROR(Inv_SY!M19/Inv_SY!$Z19-1,"")</f>
        <v>0.26061433882168394</v>
      </c>
      <c r="Z17" s="55">
        <f>IFERROR(Inv_SY!N19/Inv_SY!$Z19-1,"")</f>
        <v>0.14578658265841171</v>
      </c>
      <c r="AA17" s="55">
        <f>IFERROR(Inv_SY!O19/Inv_SY!$Z19-1,"")</f>
        <v>0.11986814257077594</v>
      </c>
      <c r="AB17" s="55">
        <f>IFERROR(Inv_SY!P19/Inv_SY!$Z19-1,"")</f>
        <v>0.12156720598534099</v>
      </c>
      <c r="AC17" s="55">
        <f>IFERROR(Inv_SY!Q19/Inv_SY!$Z19-1,"")</f>
        <v>-1</v>
      </c>
      <c r="AD17" s="55">
        <f>IFERROR(Inv_SY!R19/Inv_SY!$Z19-1,"")</f>
        <v>9.5198052686962242E-4</v>
      </c>
      <c r="AE17" s="55">
        <f>IFERROR(Inv_SY!S19/Inv_SY!$Z19-1,"")</f>
        <v>1.8938596238205152E-2</v>
      </c>
      <c r="AF17" s="55">
        <f>IFERROR(Inv_SY!T19/Inv_SY!$Z19-1,"")</f>
        <v>-1.309085108565311E-2</v>
      </c>
      <c r="AG17" s="55">
        <f>IFERROR(Inv_SY!U19/Inv_SY!$Z19-1,"")</f>
        <v>-2.8258227908529721E-3</v>
      </c>
      <c r="AH17" s="55">
        <f>IFERROR(Inv_SY!V19/Inv_SY!$Y19-1,"")</f>
        <v>1.4910417544088839E-2</v>
      </c>
      <c r="AI17" s="55">
        <f>IFERROR(Inv_SY!W19/Inv_SY!$Y19-1,"")</f>
        <v>-8.8964205120048989E-2</v>
      </c>
      <c r="AJ17" s="55">
        <f>IFERROR(Inv_SY!X19/Inv_SY!$Y19-1,"")</f>
        <v>7.405378757596015E-2</v>
      </c>
      <c r="AK17" s="55">
        <f>IFERROR(Inv_SY!V19/Inv_SY!$Z19-1,"")</f>
        <v>-5.5065556973038166E-2</v>
      </c>
      <c r="AL17" s="55">
        <f>IFERROR(Inv_SY!W19/Inv_SY!$Z19-1,"")</f>
        <v>-0.15177823921083655</v>
      </c>
      <c r="AM17" s="55">
        <f>IFERROR(Inv_SY!X19/Inv_SY!$Z19-1,"")</f>
        <v>0</v>
      </c>
    </row>
    <row r="18" spans="1:39" x14ac:dyDescent="0.3">
      <c r="A18" s="53">
        <f>YEAR(Table5[[#This Row],[Date]])+IF(MONTH(Table5[[#This Row],[Date]])&gt;=4,1,0)</f>
        <v>2026</v>
      </c>
      <c r="B18" s="53">
        <v>4</v>
      </c>
      <c r="C18" s="92">
        <f>YEAR(Table5[[#This Row],[Date]])</f>
        <v>2025</v>
      </c>
      <c r="D18" s="53" t="s">
        <v>317</v>
      </c>
      <c r="E18" s="53" t="s">
        <v>317</v>
      </c>
      <c r="F18" s="94" t="str">
        <f>TEXT(Table5[[#This Row],[Date]],"mmm-yy")</f>
        <v>Apr-25</v>
      </c>
      <c r="G18" s="92">
        <f t="shared" si="3"/>
        <v>30</v>
      </c>
      <c r="H18" s="93">
        <f t="shared" si="2"/>
        <v>45761</v>
      </c>
      <c r="I18" s="53">
        <v>8.02</v>
      </c>
      <c r="J18" s="55">
        <f>IFERROR(Inv_SY!J20/Inv_SY!$Y20-1,"")</f>
        <v>0.3471095290052626</v>
      </c>
      <c r="K18" s="55">
        <f>IFERROR(Inv_SY!K20/Inv_SY!$Y20-1,"")</f>
        <v>0.32374534386104137</v>
      </c>
      <c r="L18" s="55">
        <f>IFERROR(Inv_SY!L20/Inv_SY!$Y20-1,"")</f>
        <v>-1</v>
      </c>
      <c r="M18" s="55">
        <f>IFERROR(Inv_SY!M20/Inv_SY!$Y20-1,"")</f>
        <v>0.30209900600700568</v>
      </c>
      <c r="N18" s="55">
        <f>IFERROR(Inv_SY!N20/Inv_SY!$Y20-1,"")</f>
        <v>0.2596628212757337</v>
      </c>
      <c r="O18" s="55">
        <f>IFERROR(Inv_SY!O20/Inv_SY!$Y20-1,"")</f>
        <v>0.27632643131763035</v>
      </c>
      <c r="P18" s="55">
        <f>IFERROR(Inv_SY!P20/Inv_SY!$Y20-1,"")</f>
        <v>0.25351538461233747</v>
      </c>
      <c r="Q18" s="55">
        <f>IFERROR(Inv_SY!Q20/Inv_SY!$Y20-1,"")</f>
        <v>-1</v>
      </c>
      <c r="R18" s="55">
        <f>IFERROR(Inv_SY!R20/Inv_SY!$Y20-1,"")</f>
        <v>8.4303094134567713E-2</v>
      </c>
      <c r="S18" s="55">
        <f>IFERROR(Inv_SY!S20/Inv_SY!$Y20-1,"")</f>
        <v>7.7111034871287787E-2</v>
      </c>
      <c r="T18" s="55">
        <f>IFERROR(Inv_SY!T20/Inv_SY!$Y20-1,"")</f>
        <v>4.2925953716636434E-2</v>
      </c>
      <c r="U18" s="55">
        <f>IFERROR(Inv_SY!U20/Inv_SY!$Y20-1,"")</f>
        <v>3.4340459329682327E-2</v>
      </c>
      <c r="V18" s="55">
        <f>IFERROR(Inv_SY!J20/Inv_SY!$Z20-1,"")</f>
        <v>0.27259474318015342</v>
      </c>
      <c r="W18" s="55">
        <f>IFERROR(Inv_SY!K20/Inv_SY!$Z20-1,"")</f>
        <v>0.25052293791634583</v>
      </c>
      <c r="X18" s="55">
        <f>IFERROR(Inv_SY!L20/Inv_SY!$Z20-1,"")</f>
        <v>-1</v>
      </c>
      <c r="Y18" s="55">
        <f>IFERROR(Inv_SY!M20/Inv_SY!$Z20-1,"")</f>
        <v>0.23007395795664731</v>
      </c>
      <c r="Z18" s="55">
        <f>IFERROR(Inv_SY!N20/Inv_SY!$Z20-1,"")</f>
        <v>0.18998511258301498</v>
      </c>
      <c r="AA18" s="55">
        <f>IFERROR(Inv_SY!O20/Inv_SY!$Z20-1,"")</f>
        <v>0.20572698218242391</v>
      </c>
      <c r="AB18" s="55">
        <f>IFERROR(Inv_SY!P20/Inv_SY!$Z20-1,"")</f>
        <v>0.18417771874203481</v>
      </c>
      <c r="AC18" s="55">
        <f>IFERROR(Inv_SY!Q20/Inv_SY!$Z20-1,"")</f>
        <v>-1</v>
      </c>
      <c r="AD18" s="55">
        <f>IFERROR(Inv_SY!R20/Inv_SY!$Z20-1,"")</f>
        <v>2.4325333537326133E-2</v>
      </c>
      <c r="AE18" s="55">
        <f>IFERROR(Inv_SY!S20/Inv_SY!$Z20-1,"")</f>
        <v>1.7531099947538653E-2</v>
      </c>
      <c r="AF18" s="55">
        <f>IFERROR(Inv_SY!T20/Inv_SY!$Z20-1,"")</f>
        <v>-1.4763048104936671E-2</v>
      </c>
      <c r="AG18" s="55">
        <f>IFERROR(Inv_SY!U20/Inv_SY!$Z20-1,"")</f>
        <v>-2.2873639552172698E-2</v>
      </c>
      <c r="AH18" s="55">
        <f>IFERROR(Inv_SY!V20/Inv_SY!$Y20-1,"")</f>
        <v>-7.5140701557026013E-3</v>
      </c>
      <c r="AI18" s="55">
        <f>IFERROR(Inv_SY!W20/Inv_SY!$Y20-1,"")</f>
        <v>-5.1039358753567132E-2</v>
      </c>
      <c r="AJ18" s="55">
        <f>IFERROR(Inv_SY!X20/Inv_SY!$Y20-1,"")</f>
        <v>5.8553428909269511E-2</v>
      </c>
      <c r="AK18" s="55">
        <f>IFERROR(Inv_SY!V20/Inv_SY!$Z20-1,"")</f>
        <v>-6.2413003690373836E-2</v>
      </c>
      <c r="AL18" s="55">
        <f>IFERROR(Inv_SY!W20/Inv_SY!$Z20-1,"")</f>
        <v>-0.10353070961733191</v>
      </c>
      <c r="AM18" s="55">
        <f>IFERROR(Inv_SY!X20/Inv_SY!$Z20-1,"")</f>
        <v>0</v>
      </c>
    </row>
    <row r="19" spans="1:39" x14ac:dyDescent="0.3">
      <c r="A19" s="53">
        <f>YEAR(Table5[[#This Row],[Date]])+IF(MONTH(Table5[[#This Row],[Date]])&gt;=4,1,0)</f>
        <v>2026</v>
      </c>
      <c r="B19" s="53">
        <v>4</v>
      </c>
      <c r="C19" s="92">
        <f>YEAR(Table5[[#This Row],[Date]])</f>
        <v>2025</v>
      </c>
      <c r="D19" s="53" t="s">
        <v>317</v>
      </c>
      <c r="E19" s="53" t="s">
        <v>317</v>
      </c>
      <c r="F19" s="94" t="str">
        <f>TEXT(Table5[[#This Row],[Date]],"mmm-yy")</f>
        <v>Apr-25</v>
      </c>
      <c r="G19" s="92">
        <f t="shared" si="3"/>
        <v>30</v>
      </c>
      <c r="H19" s="93">
        <f t="shared" si="2"/>
        <v>45762</v>
      </c>
      <c r="I19" s="53">
        <v>8.02</v>
      </c>
      <c r="J19" s="55">
        <f>IFERROR(Inv_SY!J21/Inv_SY!$Y21-1,"")</f>
        <v>0.34994129866221901</v>
      </c>
      <c r="K19" s="55">
        <f>IFERROR(Inv_SY!K21/Inv_SY!$Y21-1,"")</f>
        <v>0.37269155007681176</v>
      </c>
      <c r="L19" s="55">
        <f>IFERROR(Inv_SY!L21/Inv_SY!$Y21-1,"")</f>
        <v>-1</v>
      </c>
      <c r="M19" s="55">
        <f>IFERROR(Inv_SY!M21/Inv_SY!$Y21-1,"")</f>
        <v>0.32878837232990499</v>
      </c>
      <c r="N19" s="55">
        <f>IFERROR(Inv_SY!N21/Inv_SY!$Y21-1,"")</f>
        <v>0.30160244856562901</v>
      </c>
      <c r="O19" s="55">
        <f>IFERROR(Inv_SY!O21/Inv_SY!$Y21-1,"")</f>
        <v>0.2700030975487091</v>
      </c>
      <c r="P19" s="55">
        <f>IFERROR(Inv_SY!P21/Inv_SY!$Y21-1,"")</f>
        <v>0.27142169916563041</v>
      </c>
      <c r="Q19" s="55">
        <f>IFERROR(Inv_SY!Q21/Inv_SY!$Y21-1,"")</f>
        <v>-1</v>
      </c>
      <c r="R19" s="55">
        <f>IFERROR(Inv_SY!R21/Inv_SY!$Y21-1,"")</f>
        <v>2.565181992152521E-2</v>
      </c>
      <c r="S19" s="55">
        <f>IFERROR(Inv_SY!S21/Inv_SY!$Y21-1,"")</f>
        <v>6.6892281965833078E-2</v>
      </c>
      <c r="T19" s="55">
        <f>IFERROR(Inv_SY!T21/Inv_SY!$Y21-1,"")</f>
        <v>1.141151072042601E-2</v>
      </c>
      <c r="U19" s="55">
        <f>IFERROR(Inv_SY!U21/Inv_SY!$Y21-1,"")</f>
        <v>2.8908892563772604E-3</v>
      </c>
      <c r="V19" s="55">
        <f>IFERROR(Inv_SY!J21/Inv_SY!$Z21-1,"")</f>
        <v>0.3163166124329122</v>
      </c>
      <c r="W19" s="55">
        <f>IFERROR(Inv_SY!K21/Inv_SY!$Z21-1,"")</f>
        <v>0.33850019471440151</v>
      </c>
      <c r="X19" s="55">
        <f>IFERROR(Inv_SY!L21/Inv_SY!$Z21-1,"")</f>
        <v>-1</v>
      </c>
      <c r="Y19" s="55">
        <f>IFERROR(Inv_SY!M21/Inv_SY!$Z21-1,"")</f>
        <v>0.29569056864835086</v>
      </c>
      <c r="Z19" s="55">
        <f>IFERROR(Inv_SY!N21/Inv_SY!$Z21-1,"")</f>
        <v>0.26918179888872196</v>
      </c>
      <c r="AA19" s="55">
        <f>IFERROR(Inv_SY!O21/Inv_SY!$Z21-1,"")</f>
        <v>0.23836953266137528</v>
      </c>
      <c r="AB19" s="55">
        <f>IFERROR(Inv_SY!P21/Inv_SY!$Z21-1,"")</f>
        <v>0.23975279938314165</v>
      </c>
      <c r="AC19" s="55">
        <f>IFERROR(Inv_SY!Q21/Inv_SY!$Z21-1,"")</f>
        <v>-1</v>
      </c>
      <c r="AD19" s="55">
        <f>IFERROR(Inv_SY!R21/Inv_SY!$Z21-1,"")</f>
        <v>1.0461971396402703E-4</v>
      </c>
      <c r="AE19" s="55">
        <f>IFERROR(Inv_SY!S21/Inv_SY!$Z21-1,"")</f>
        <v>4.0317853687269478E-2</v>
      </c>
      <c r="AF19" s="55">
        <f>IFERROR(Inv_SY!T21/Inv_SY!$Z21-1,"")</f>
        <v>-1.3780988190738142E-2</v>
      </c>
      <c r="AG19" s="55">
        <f>IFERROR(Inv_SY!U21/Inv_SY!$Z21-1,"")</f>
        <v>-2.2089375816551793E-2</v>
      </c>
      <c r="AH19" s="55">
        <f>IFERROR(Inv_SY!V21/Inv_SY!$Y21-1,"")</f>
        <v>1.209179991424425E-2</v>
      </c>
      <c r="AI19" s="55">
        <f>IFERROR(Inv_SY!W21/Inv_SY!$Y21-1,"")</f>
        <v>-3.7636327660619195E-2</v>
      </c>
      <c r="AJ19" s="55">
        <f>IFERROR(Inv_SY!X21/Inv_SY!$Y21-1,"")</f>
        <v>2.5544527746375056E-2</v>
      </c>
      <c r="AK19" s="55">
        <f>IFERROR(Inv_SY!V21/Inv_SY!$Z21-1,"")</f>
        <v>-1.3117643815713231E-2</v>
      </c>
      <c r="AL19" s="55">
        <f>IFERROR(Inv_SY!W21/Inv_SY!$Z21-1,"")</f>
        <v>-6.1607130356234774E-2</v>
      </c>
      <c r="AM19" s="55">
        <f>IFERROR(Inv_SY!X21/Inv_SY!$Z21-1,"")</f>
        <v>0</v>
      </c>
    </row>
    <row r="20" spans="1:39" x14ac:dyDescent="0.3">
      <c r="A20" s="53">
        <f>YEAR(Table5[[#This Row],[Date]])+IF(MONTH(Table5[[#This Row],[Date]])&gt;=4,1,0)</f>
        <v>2026</v>
      </c>
      <c r="B20" s="53">
        <v>4</v>
      </c>
      <c r="C20" s="92">
        <f>YEAR(Table5[[#This Row],[Date]])</f>
        <v>2025</v>
      </c>
      <c r="D20" s="53" t="s">
        <v>317</v>
      </c>
      <c r="E20" s="53" t="s">
        <v>317</v>
      </c>
      <c r="F20" s="94" t="str">
        <f>TEXT(Table5[[#This Row],[Date]],"mmm-yy")</f>
        <v>Apr-25</v>
      </c>
      <c r="G20" s="92">
        <f t="shared" si="3"/>
        <v>30</v>
      </c>
      <c r="H20" s="93">
        <f t="shared" si="2"/>
        <v>45763</v>
      </c>
      <c r="I20" s="53">
        <v>8.02</v>
      </c>
      <c r="J20" s="55">
        <f>IFERROR(Inv_SY!J22/Inv_SY!$Y22-1,"")</f>
        <v>0.32100597851056656</v>
      </c>
      <c r="K20" s="55">
        <f>IFERROR(Inv_SY!K22/Inv_SY!$Y22-1,"")</f>
        <v>0.32012327496521276</v>
      </c>
      <c r="L20" s="55">
        <f>IFERROR(Inv_SY!L22/Inv_SY!$Y22-1,"")</f>
        <v>-1</v>
      </c>
      <c r="M20" s="55">
        <f>IFERROR(Inv_SY!M22/Inv_SY!$Y22-1,"")</f>
        <v>0.3521196863061804</v>
      </c>
      <c r="N20" s="55">
        <f>IFERROR(Inv_SY!N22/Inv_SY!$Y22-1,"")</f>
        <v>0.29939355444705051</v>
      </c>
      <c r="O20" s="55">
        <f>IFERROR(Inv_SY!O22/Inv_SY!$Y22-1,"")</f>
        <v>0.32549316449149424</v>
      </c>
      <c r="P20" s="55">
        <f>IFERROR(Inv_SY!P22/Inv_SY!$Y22-1,"")</f>
        <v>0.29376582603121704</v>
      </c>
      <c r="Q20" s="55">
        <f>IFERROR(Inv_SY!Q22/Inv_SY!$Y22-1,"")</f>
        <v>-1</v>
      </c>
      <c r="R20" s="55">
        <f>IFERROR(Inv_SY!R22/Inv_SY!$Y22-1,"")</f>
        <v>1.9563878884729879E-2</v>
      </c>
      <c r="S20" s="55">
        <f>IFERROR(Inv_SY!S22/Inv_SY!$Y22-1,"")</f>
        <v>3.7568721233007585E-2</v>
      </c>
      <c r="T20" s="55">
        <f>IFERROR(Inv_SY!T22/Inv_SY!$Y22-1,"")</f>
        <v>3.3184980019684174E-2</v>
      </c>
      <c r="U20" s="55">
        <f>IFERROR(Inv_SY!U22/Inv_SY!$Y22-1,"")</f>
        <v>-2.4897690227513314E-3</v>
      </c>
      <c r="V20" s="55">
        <f>IFERROR(Inv_SY!J22/Inv_SY!$Z22-1,"")</f>
        <v>0.29387509103685105</v>
      </c>
      <c r="W20" s="55">
        <f>IFERROR(Inv_SY!K22/Inv_SY!$Z22-1,"")</f>
        <v>0.29301051650147247</v>
      </c>
      <c r="X20" s="55">
        <f>IFERROR(Inv_SY!L22/Inv_SY!$Z22-1,"")</f>
        <v>-1</v>
      </c>
      <c r="Y20" s="55">
        <f>IFERROR(Inv_SY!M22/Inv_SY!$Z22-1,"")</f>
        <v>0.32434978393107539</v>
      </c>
      <c r="Z20" s="55">
        <f>IFERROR(Inv_SY!N22/Inv_SY!$Z22-1,"")</f>
        <v>0.27270654402979044</v>
      </c>
      <c r="AA20" s="55">
        <f>IFERROR(Inv_SY!O22/Inv_SY!$Z22-1,"")</f>
        <v>0.29827011896558031</v>
      </c>
      <c r="AB20" s="55">
        <f>IFERROR(Inv_SY!P22/Inv_SY!$Z22-1,"")</f>
        <v>0.26719439818426061</v>
      </c>
      <c r="AC20" s="55">
        <f>IFERROR(Inv_SY!Q22/Inv_SY!$Z22-1,"")</f>
        <v>-1</v>
      </c>
      <c r="AD20" s="55">
        <f>IFERROR(Inv_SY!R22/Inv_SY!$Z22-1,"")</f>
        <v>-1.3759755294605602E-3</v>
      </c>
      <c r="AE20" s="55">
        <f>IFERROR(Inv_SY!S22/Inv_SY!$Z22-1,"")</f>
        <v>1.6259082457747098E-2</v>
      </c>
      <c r="AF20" s="55">
        <f>IFERROR(Inv_SY!T22/Inv_SY!$Z22-1,"")</f>
        <v>1.1965374742763046E-2</v>
      </c>
      <c r="AG20" s="55">
        <f>IFERROR(Inv_SY!U22/Inv_SY!$Z22-1,"")</f>
        <v>-2.297668450290502E-2</v>
      </c>
      <c r="AH20" s="55">
        <f>IFERROR(Inv_SY!V22/Inv_SY!$Y22-1,"")</f>
        <v>-2.2703248385260721E-3</v>
      </c>
      <c r="AI20" s="55">
        <f>IFERROR(Inv_SY!W22/Inv_SY!$Y22-1,"")</f>
        <v>-1.8698382003162983E-2</v>
      </c>
      <c r="AJ20" s="55">
        <f>IFERROR(Inv_SY!X22/Inv_SY!$Y22-1,"")</f>
        <v>2.0968706841689055E-2</v>
      </c>
      <c r="AK20" s="55">
        <f>IFERROR(Inv_SY!V22/Inv_SY!$Z22-1,"")</f>
        <v>-2.276174727441338E-2</v>
      </c>
      <c r="AL20" s="55">
        <f>IFERROR(Inv_SY!W22/Inv_SY!$Z22-1,"")</f>
        <v>-3.8852404171681232E-2</v>
      </c>
      <c r="AM20" s="55">
        <f>IFERROR(Inv_SY!X22/Inv_SY!$Z22-1,"")</f>
        <v>0</v>
      </c>
    </row>
    <row r="21" spans="1:39" x14ac:dyDescent="0.3">
      <c r="A21" s="53">
        <f>YEAR(Table5[[#This Row],[Date]])+IF(MONTH(Table5[[#This Row],[Date]])&gt;=4,1,0)</f>
        <v>2026</v>
      </c>
      <c r="B21" s="53">
        <v>4</v>
      </c>
      <c r="C21" s="92">
        <f>YEAR(Table5[[#This Row],[Date]])</f>
        <v>2025</v>
      </c>
      <c r="D21" s="53" t="s">
        <v>317</v>
      </c>
      <c r="E21" s="53" t="s">
        <v>317</v>
      </c>
      <c r="F21" s="94" t="str">
        <f>TEXT(Table5[[#This Row],[Date]],"mmm-yy")</f>
        <v>Apr-25</v>
      </c>
      <c r="G21" s="92">
        <f t="shared" si="3"/>
        <v>30</v>
      </c>
      <c r="H21" s="93">
        <f t="shared" si="2"/>
        <v>45764</v>
      </c>
      <c r="I21" s="53">
        <v>8.02</v>
      </c>
      <c r="J21" s="55">
        <f>IFERROR(Inv_SY!J23/Inv_SY!$Y23-1,"")</f>
        <v>0.32718389695384387</v>
      </c>
      <c r="K21" s="55">
        <f>IFERROR(Inv_SY!K23/Inv_SY!$Y23-1,"")</f>
        <v>0.32725016668455531</v>
      </c>
      <c r="L21" s="55">
        <f>IFERROR(Inv_SY!L23/Inv_SY!$Y23-1,"")</f>
        <v>-1</v>
      </c>
      <c r="M21" s="55">
        <f>IFERROR(Inv_SY!M23/Inv_SY!$Y23-1,"")</f>
        <v>0.32887850863917412</v>
      </c>
      <c r="N21" s="55">
        <f>IFERROR(Inv_SY!N23/Inv_SY!$Y23-1,"")</f>
        <v>0.31287180789827418</v>
      </c>
      <c r="O21" s="55">
        <f>IFERROR(Inv_SY!O23/Inv_SY!$Y23-1,"")</f>
        <v>0.30519321024799551</v>
      </c>
      <c r="P21" s="55">
        <f>IFERROR(Inv_SY!P23/Inv_SY!$Y23-1,"")</f>
        <v>0.33139474082657761</v>
      </c>
      <c r="Q21" s="55">
        <f>IFERROR(Inv_SY!Q23/Inv_SY!$Y23-1,"")</f>
        <v>-1</v>
      </c>
      <c r="R21" s="55">
        <f>IFERROR(Inv_SY!R23/Inv_SY!$Y23-1,"")</f>
        <v>1.5852111447689277E-2</v>
      </c>
      <c r="S21" s="55">
        <f>IFERROR(Inv_SY!S23/Inv_SY!$Y23-1,"")</f>
        <v>3.4271001785656674E-2</v>
      </c>
      <c r="T21" s="55">
        <f>IFERROR(Inv_SY!T23/Inv_SY!$Y23-1,"")</f>
        <v>2.1782985595184545E-3</v>
      </c>
      <c r="U21" s="55">
        <f>IFERROR(Inv_SY!U23/Inv_SY!$Y23-1,"")</f>
        <v>1.496776019429169E-2</v>
      </c>
      <c r="V21" s="55">
        <f>IFERROR(Inv_SY!J23/Inv_SY!$Z23-1,"")</f>
        <v>0.30651955181144408</v>
      </c>
      <c r="W21" s="55">
        <f>IFERROR(Inv_SY!K23/Inv_SY!$Z23-1,"")</f>
        <v>0.30658478971786107</v>
      </c>
      <c r="X21" s="55">
        <f>IFERROR(Inv_SY!L23/Inv_SY!$Z23-1,"")</f>
        <v>-1</v>
      </c>
      <c r="Y21" s="55">
        <f>IFERROR(Inv_SY!M23/Inv_SY!$Z23-1,"")</f>
        <v>0.30818777827553379</v>
      </c>
      <c r="Z21" s="55">
        <f>IFERROR(Inv_SY!N23/Inv_SY!$Z23-1,"")</f>
        <v>0.29243030297314343</v>
      </c>
      <c r="AA21" s="55">
        <f>IFERROR(Inv_SY!O23/Inv_SY!$Z23-1,"")</f>
        <v>0.28487126161978726</v>
      </c>
      <c r="AB21" s="55">
        <f>IFERROR(Inv_SY!P23/Inv_SY!$Z23-1,"")</f>
        <v>0.31066483255360744</v>
      </c>
      <c r="AC21" s="55">
        <f>IFERROR(Inv_SY!Q23/Inv_SY!$Z23-1,"")</f>
        <v>-1</v>
      </c>
      <c r="AD21" s="55">
        <f>IFERROR(Inv_SY!R23/Inv_SY!$Z23-1,"")</f>
        <v>3.5223755809221657E-5</v>
      </c>
      <c r="AE21" s="55">
        <f>IFERROR(Inv_SY!S23/Inv_SY!$Z23-1,"")</f>
        <v>1.8167330696270634E-2</v>
      </c>
      <c r="AF21" s="55">
        <f>IFERROR(Inv_SY!T23/Inv_SY!$Z23-1,"")</f>
        <v>-1.3425686919200097E-2</v>
      </c>
      <c r="AG21" s="55">
        <f>IFERROR(Inv_SY!U23/Inv_SY!$Z23-1,"")</f>
        <v>-8.3535808735868411E-4</v>
      </c>
      <c r="AH21" s="55">
        <f>IFERROR(Inv_SY!V23/Inv_SY!$Y23-1,"")</f>
        <v>-4.8326333072195027E-3</v>
      </c>
      <c r="AI21" s="55">
        <f>IFERROR(Inv_SY!W23/Inv_SY!$Y23-1,"")</f>
        <v>-1.0983697274094761E-2</v>
      </c>
      <c r="AJ21" s="55">
        <f>IFERROR(Inv_SY!X23/Inv_SY!$Y23-1,"")</f>
        <v>1.5816330581313931E-2</v>
      </c>
      <c r="AK21" s="55">
        <f>IFERROR(Inv_SY!V23/Inv_SY!$Z23-1,"")</f>
        <v>-2.0327458091480732E-2</v>
      </c>
      <c r="AL21" s="55">
        <f>IFERROR(Inv_SY!W23/Inv_SY!$Z23-1,"")</f>
        <v>-2.6382749566618902E-2</v>
      </c>
      <c r="AM21" s="55">
        <f>IFERROR(Inv_SY!X23/Inv_SY!$Z23-1,"")</f>
        <v>0</v>
      </c>
    </row>
    <row r="22" spans="1:39" x14ac:dyDescent="0.3">
      <c r="A22" s="53">
        <f>YEAR(Table5[[#This Row],[Date]])+IF(MONTH(Table5[[#This Row],[Date]])&gt;=4,1,0)</f>
        <v>2026</v>
      </c>
      <c r="B22" s="53">
        <v>4</v>
      </c>
      <c r="C22" s="92">
        <f>YEAR(Table5[[#This Row],[Date]])</f>
        <v>2025</v>
      </c>
      <c r="D22" s="53" t="s">
        <v>317</v>
      </c>
      <c r="E22" s="53" t="s">
        <v>317</v>
      </c>
      <c r="F22" s="94" t="str">
        <f>TEXT(Table5[[#This Row],[Date]],"mmm-yy")</f>
        <v>Apr-25</v>
      </c>
      <c r="G22" s="92">
        <f t="shared" si="3"/>
        <v>30</v>
      </c>
      <c r="H22" s="93">
        <f t="shared" si="2"/>
        <v>45765</v>
      </c>
      <c r="I22" s="53">
        <v>8.02</v>
      </c>
      <c r="J22" s="55">
        <f>IFERROR(Inv_SY!J24/Inv_SY!$Y24-1,"")</f>
        <v>0.32233262582442657</v>
      </c>
      <c r="K22" s="55">
        <f>IFERROR(Inv_SY!K24/Inv_SY!$Y24-1,"")</f>
        <v>0.35003881028196915</v>
      </c>
      <c r="L22" s="55">
        <f>IFERROR(Inv_SY!L24/Inv_SY!$Y24-1,"")</f>
        <v>-1</v>
      </c>
      <c r="M22" s="55">
        <f>IFERROR(Inv_SY!M24/Inv_SY!$Y24-1,"")</f>
        <v>0.31424066084000146</v>
      </c>
      <c r="N22" s="55">
        <f>IFERROR(Inv_SY!N24/Inv_SY!$Y24-1,"")</f>
        <v>0.34865890819891576</v>
      </c>
      <c r="O22" s="55">
        <f>IFERROR(Inv_SY!O24/Inv_SY!$Y24-1,"")</f>
        <v>0.30547965242136876</v>
      </c>
      <c r="P22" s="55">
        <f>IFERROR(Inv_SY!P24/Inv_SY!$Y24-1,"")</f>
        <v>0.30789339963874718</v>
      </c>
      <c r="Q22" s="55">
        <f>IFERROR(Inv_SY!Q24/Inv_SY!$Y24-1,"")</f>
        <v>-1</v>
      </c>
      <c r="R22" s="55">
        <f>IFERROR(Inv_SY!R24/Inv_SY!$Y24-1,"")</f>
        <v>3.4589059401638034E-2</v>
      </c>
      <c r="S22" s="55">
        <f>IFERROR(Inv_SY!S24/Inv_SY!$Y24-1,"")</f>
        <v>2.6341872743802286E-2</v>
      </c>
      <c r="T22" s="55">
        <f>IFERROR(Inv_SY!T24/Inv_SY!$Y24-1,"")</f>
        <v>2.2460267394930344E-3</v>
      </c>
      <c r="U22" s="55">
        <f>IFERROR(Inv_SY!U24/Inv_SY!$Y24-1,"")</f>
        <v>-1.1394392289366007E-2</v>
      </c>
      <c r="V22" s="55">
        <f>IFERROR(Inv_SY!J24/Inv_SY!$Z24-1,"")</f>
        <v>0.30677317777487567</v>
      </c>
      <c r="W22" s="55">
        <f>IFERROR(Inv_SY!K24/Inv_SY!$Z24-1,"")</f>
        <v>0.33415335277814062</v>
      </c>
      <c r="X22" s="55">
        <f>IFERROR(Inv_SY!L24/Inv_SY!$Z24-1,"")</f>
        <v>-1</v>
      </c>
      <c r="Y22" s="55">
        <f>IFERROR(Inv_SY!M24/Inv_SY!$Z24-1,"")</f>
        <v>0.29877642825011241</v>
      </c>
      <c r="Z22" s="55">
        <f>IFERROR(Inv_SY!N24/Inv_SY!$Z24-1,"")</f>
        <v>0.33278968754378591</v>
      </c>
      <c r="AA22" s="55">
        <f>IFERROR(Inv_SY!O24/Inv_SY!$Z24-1,"")</f>
        <v>0.29011850770263203</v>
      </c>
      <c r="AB22" s="55">
        <f>IFERROR(Inv_SY!P24/Inv_SY!$Z24-1,"")</f>
        <v>0.29250385315959093</v>
      </c>
      <c r="AC22" s="55">
        <f>IFERROR(Inv_SY!Q24/Inv_SY!$Z24-1,"")</f>
        <v>-1</v>
      </c>
      <c r="AD22" s="55">
        <f>IFERROR(Inv_SY!R24/Inv_SY!$Z24-1,"")</f>
        <v>2.241539416188254E-2</v>
      </c>
      <c r="AE22" s="55">
        <f>IFERROR(Inv_SY!S24/Inv_SY!$Z24-1,"")</f>
        <v>1.4265249405495339E-2</v>
      </c>
      <c r="AF22" s="55">
        <f>IFERROR(Inv_SY!T24/Inv_SY!$Z24-1,"")</f>
        <v>-9.5470687959056111E-3</v>
      </c>
      <c r="AG22" s="55">
        <f>IFERROR(Inv_SY!U24/Inv_SY!$Z24-1,"")</f>
        <v>-2.3026985552409895E-2</v>
      </c>
      <c r="AH22" s="55">
        <f>IFERROR(Inv_SY!V24/Inv_SY!$Y24-1,"")</f>
        <v>-4.0713800740815875E-3</v>
      </c>
      <c r="AI22" s="55">
        <f>IFERROR(Inv_SY!W24/Inv_SY!$Y24-1,"")</f>
        <v>-7.8353902164172151E-3</v>
      </c>
      <c r="AJ22" s="55">
        <f>IFERROR(Inv_SY!X24/Inv_SY!$Y24-1,"")</f>
        <v>1.1906770290499136E-2</v>
      </c>
      <c r="AK22" s="55">
        <f>IFERROR(Inv_SY!V24/Inv_SY!$Z24-1,"")</f>
        <v>-1.5790140785394313E-2</v>
      </c>
      <c r="AL22" s="55">
        <f>IFERROR(Inv_SY!W24/Inv_SY!$Z24-1,"")</f>
        <v>-1.9509861072723789E-2</v>
      </c>
      <c r="AM22" s="55">
        <f>IFERROR(Inv_SY!X24/Inv_SY!$Z24-1,"")</f>
        <v>0</v>
      </c>
    </row>
    <row r="23" spans="1:39" x14ac:dyDescent="0.3">
      <c r="A23" s="53">
        <f>YEAR(Table5[[#This Row],[Date]])+IF(MONTH(Table5[[#This Row],[Date]])&gt;=4,1,0)</f>
        <v>2026</v>
      </c>
      <c r="B23" s="53">
        <v>4</v>
      </c>
      <c r="C23" s="92">
        <f>YEAR(Table5[[#This Row],[Date]])</f>
        <v>2025</v>
      </c>
      <c r="D23" s="53" t="s">
        <v>317</v>
      </c>
      <c r="E23" s="53" t="s">
        <v>317</v>
      </c>
      <c r="F23" s="94" t="str">
        <f>TEXT(Table5[[#This Row],[Date]],"mmm-yy")</f>
        <v>Apr-25</v>
      </c>
      <c r="G23" s="92">
        <f t="shared" si="3"/>
        <v>30</v>
      </c>
      <c r="H23" s="93">
        <f t="shared" si="2"/>
        <v>45766</v>
      </c>
      <c r="I23" s="53">
        <v>8.02</v>
      </c>
      <c r="J23" s="55">
        <f>IFERROR(Inv_SY!J25/Inv_SY!$Y25-1,"")</f>
        <v>0.33649404238240033</v>
      </c>
      <c r="K23" s="55">
        <f>IFERROR(Inv_SY!K25/Inv_SY!$Y25-1,"")</f>
        <v>0.33610326503819898</v>
      </c>
      <c r="L23" s="55">
        <f>IFERROR(Inv_SY!L25/Inv_SY!$Y25-1,"")</f>
        <v>-1</v>
      </c>
      <c r="M23" s="55">
        <f>IFERROR(Inv_SY!M25/Inv_SY!$Y25-1,"")</f>
        <v>0.34052192487826161</v>
      </c>
      <c r="N23" s="55">
        <f>IFERROR(Inv_SY!N25/Inv_SY!$Y25-1,"")</f>
        <v>0.30781704207565186</v>
      </c>
      <c r="O23" s="55">
        <f>IFERROR(Inv_SY!O25/Inv_SY!$Y25-1,"")</f>
        <v>0.34266086994983747</v>
      </c>
      <c r="P23" s="55">
        <f>IFERROR(Inv_SY!P25/Inv_SY!$Y25-1,"")</f>
        <v>0.30175096634211473</v>
      </c>
      <c r="Q23" s="55">
        <f>IFERROR(Inv_SY!Q25/Inv_SY!$Y25-1,"")</f>
        <v>-1</v>
      </c>
      <c r="R23" s="55">
        <f>IFERROR(Inv_SY!R25/Inv_SY!$Y25-1,"")</f>
        <v>5.601127271855022E-3</v>
      </c>
      <c r="S23" s="55">
        <f>IFERROR(Inv_SY!S25/Inv_SY!$Y25-1,"")</f>
        <v>4.9820521414926766E-2</v>
      </c>
      <c r="T23" s="55">
        <f>IFERROR(Inv_SY!T25/Inv_SY!$Y25-1,"")</f>
        <v>-5.6284100135557402E-3</v>
      </c>
      <c r="U23" s="55">
        <f>IFERROR(Inv_SY!U25/Inv_SY!$Y25-1,"")</f>
        <v>-1.4513286499170053E-2</v>
      </c>
      <c r="V23" s="55">
        <f>IFERROR(Inv_SY!J25/Inv_SY!$Z25-1,"")</f>
        <v>0.32632200084150176</v>
      </c>
      <c r="W23" s="55">
        <f>IFERROR(Inv_SY!K25/Inv_SY!$Z25-1,"")</f>
        <v>0.32593419769939347</v>
      </c>
      <c r="X23" s="55">
        <f>IFERROR(Inv_SY!L25/Inv_SY!$Z25-1,"")</f>
        <v>-1</v>
      </c>
      <c r="Y23" s="55">
        <f>IFERROR(Inv_SY!M25/Inv_SY!$Z25-1,"")</f>
        <v>0.3303192271677351</v>
      </c>
      <c r="Z23" s="55">
        <f>IFERROR(Inv_SY!N25/Inv_SY!$Z25-1,"")</f>
        <v>0.29786326087048098</v>
      </c>
      <c r="AA23" s="55">
        <f>IFERROR(Inv_SY!O25/Inv_SY!$Z25-1,"")</f>
        <v>0.3324418927517625</v>
      </c>
      <c r="AB23" s="55">
        <f>IFERROR(Inv_SY!P25/Inv_SY!$Z25-1,"")</f>
        <v>0.29184335397301431</v>
      </c>
      <c r="AC23" s="55">
        <f>IFERROR(Inv_SY!Q25/Inv_SY!$Z25-1,"")</f>
        <v>-1</v>
      </c>
      <c r="AD23" s="55">
        <f>IFERROR(Inv_SY!R25/Inv_SY!$Z25-1,"")</f>
        <v>-2.0524919107265394E-3</v>
      </c>
      <c r="AE23" s="55">
        <f>IFERROR(Inv_SY!S25/Inv_SY!$Z25-1,"")</f>
        <v>4.1830348907098136E-2</v>
      </c>
      <c r="AF23" s="55">
        <f>IFERROR(Inv_SY!T25/Inv_SY!$Z25-1,"")</f>
        <v>-1.3196561310662269E-2</v>
      </c>
      <c r="AG23" s="55">
        <f>IFERROR(Inv_SY!U25/Inv_SY!$Z25-1,"")</f>
        <v>-2.2013815098508083E-2</v>
      </c>
      <c r="AH23" s="55">
        <f>IFERROR(Inv_SY!V25/Inv_SY!$Y25-1,"")</f>
        <v>2.6208991078464638E-3</v>
      </c>
      <c r="AI23" s="55">
        <f>IFERROR(Inv_SY!W25/Inv_SY!$Y25-1,"")</f>
        <v>-1.0290259590779449E-2</v>
      </c>
      <c r="AJ23" s="55">
        <f>IFERROR(Inv_SY!X25/Inv_SY!$Y25-1,"")</f>
        <v>7.6693604829332074E-3</v>
      </c>
      <c r="AK23" s="55">
        <f>IFERROR(Inv_SY!V25/Inv_SY!$Z25-1,"")</f>
        <v>-5.0100375907701222E-3</v>
      </c>
      <c r="AL23" s="55">
        <f>IFERROR(Inv_SY!W25/Inv_SY!$Z25-1,"")</f>
        <v>-1.7822929601734927E-2</v>
      </c>
      <c r="AM23" s="55">
        <f>IFERROR(Inv_SY!X25/Inv_SY!$Z25-1,"")</f>
        <v>0</v>
      </c>
    </row>
    <row r="24" spans="1:39" x14ac:dyDescent="0.3">
      <c r="A24" s="53">
        <f>YEAR(Table5[[#This Row],[Date]])+IF(MONTH(Table5[[#This Row],[Date]])&gt;=4,1,0)</f>
        <v>2026</v>
      </c>
      <c r="B24" s="53">
        <v>4</v>
      </c>
      <c r="C24" s="92">
        <f>YEAR(Table5[[#This Row],[Date]])</f>
        <v>2025</v>
      </c>
      <c r="D24" s="53" t="s">
        <v>317</v>
      </c>
      <c r="E24" s="53" t="s">
        <v>317</v>
      </c>
      <c r="F24" s="94" t="str">
        <f>TEXT(Table5[[#This Row],[Date]],"mmm-yy")</f>
        <v>Apr-25</v>
      </c>
      <c r="G24" s="92">
        <f t="shared" si="3"/>
        <v>30</v>
      </c>
      <c r="H24" s="93">
        <f t="shared" si="2"/>
        <v>45767</v>
      </c>
      <c r="I24" s="53">
        <v>8.02</v>
      </c>
      <c r="J24" s="55">
        <f>IFERROR(Inv_SY!J26/Inv_SY!$Y26-1,"")</f>
        <v>0.34771967722575026</v>
      </c>
      <c r="K24" s="55">
        <f>IFERROR(Inv_SY!K26/Inv_SY!$Y26-1,"")</f>
        <v>0.34777866097458943</v>
      </c>
      <c r="L24" s="55">
        <f>IFERROR(Inv_SY!L26/Inv_SY!$Y26-1,"")</f>
        <v>-1</v>
      </c>
      <c r="M24" s="55">
        <f>IFERROR(Inv_SY!M26/Inv_SY!$Y26-1,"")</f>
        <v>0.34580223726348702</v>
      </c>
      <c r="N24" s="55">
        <f>IFERROR(Inv_SY!N26/Inv_SY!$Y26-1,"")</f>
        <v>0.29199743961339419</v>
      </c>
      <c r="O24" s="55">
        <f>IFERROR(Inv_SY!O26/Inv_SY!$Y26-1,"")</f>
        <v>0.28282498319555516</v>
      </c>
      <c r="P24" s="55">
        <f>IFERROR(Inv_SY!P26/Inv_SY!$Y26-1,"")</f>
        <v>0.30656545862996221</v>
      </c>
      <c r="Q24" s="55">
        <f>IFERROR(Inv_SY!Q26/Inv_SY!$Y26-1,"")</f>
        <v>-1</v>
      </c>
      <c r="R24" s="55">
        <f>IFERROR(Inv_SY!R26/Inv_SY!$Y26-1,"")</f>
        <v>1.9959881694825876E-2</v>
      </c>
      <c r="S24" s="55">
        <f>IFERROR(Inv_SY!S26/Inv_SY!$Y26-1,"")</f>
        <v>3.6688672758504959E-2</v>
      </c>
      <c r="T24" s="55">
        <f>IFERROR(Inv_SY!T26/Inv_SY!$Y26-1,"")</f>
        <v>2.4238591283366917E-2</v>
      </c>
      <c r="U24" s="55">
        <f>IFERROR(Inv_SY!U26/Inv_SY!$Y26-1,"")</f>
        <v>-3.3195279400151101E-3</v>
      </c>
      <c r="V24" s="55">
        <f>IFERROR(Inv_SY!J26/Inv_SY!$Z26-1,"")</f>
        <v>0.32338905383367833</v>
      </c>
      <c r="W24" s="55">
        <f>IFERROR(Inv_SY!K26/Inv_SY!$Z26-1,"")</f>
        <v>0.32344697273839351</v>
      </c>
      <c r="X24" s="55">
        <f>IFERROR(Inv_SY!L26/Inv_SY!$Z26-1,"")</f>
        <v>-1</v>
      </c>
      <c r="Y24" s="55">
        <f>IFERROR(Inv_SY!M26/Inv_SY!$Z26-1,"")</f>
        <v>0.32150622975659293</v>
      </c>
      <c r="Z24" s="55">
        <f>IFERROR(Inv_SY!N26/Inv_SY!$Z26-1,"")</f>
        <v>0.26867277970231918</v>
      </c>
      <c r="AA24" s="55">
        <f>IFERROR(Inv_SY!O26/Inv_SY!$Z26-1,"")</f>
        <v>0.25966591527401173</v>
      </c>
      <c r="AB24" s="55">
        <f>IFERROR(Inv_SY!P26/Inv_SY!$Z26-1,"")</f>
        <v>0.28297779967668979</v>
      </c>
      <c r="AC24" s="55">
        <f>IFERROR(Inv_SY!Q26/Inv_SY!$Z26-1,"")</f>
        <v>-1</v>
      </c>
      <c r="AD24" s="55">
        <f>IFERROR(Inv_SY!R26/Inv_SY!$Z26-1,"")</f>
        <v>1.5463642728477112E-3</v>
      </c>
      <c r="AE24" s="55">
        <f>IFERROR(Inv_SY!S26/Inv_SY!$Z26-1,"")</f>
        <v>1.7973147491681329E-2</v>
      </c>
      <c r="AF24" s="55">
        <f>IFERROR(Inv_SY!T26/Inv_SY!$Z26-1,"")</f>
        <v>5.7478295550528191E-3</v>
      </c>
      <c r="AG24" s="55">
        <f>IFERROR(Inv_SY!U26/Inv_SY!$Z26-1,"")</f>
        <v>-2.1312778033270141E-2</v>
      </c>
      <c r="AH24" s="55">
        <f>IFERROR(Inv_SY!V26/Inv_SY!$Y26-1,"")</f>
        <v>9.6450417475781869E-3</v>
      </c>
      <c r="AI24" s="55">
        <f>IFERROR(Inv_SY!W26/Inv_SY!$Y26-1,"")</f>
        <v>-2.803012912727898E-2</v>
      </c>
      <c r="AJ24" s="55">
        <f>IFERROR(Inv_SY!X26/Inv_SY!$Y26-1,"")</f>
        <v>1.8385087379700904E-2</v>
      </c>
      <c r="AK24" s="55">
        <f>IFERROR(Inv_SY!V26/Inv_SY!$Z26-1,"")</f>
        <v>-8.5822600315277331E-3</v>
      </c>
      <c r="AL24" s="55">
        <f>IFERROR(Inv_SY!W26/Inv_SY!$Z26-1,"")</f>
        <v>-4.5577274335787732E-2</v>
      </c>
      <c r="AM24" s="55">
        <f>IFERROR(Inv_SY!X26/Inv_SY!$Z26-1,"")</f>
        <v>0</v>
      </c>
    </row>
    <row r="25" spans="1:39" x14ac:dyDescent="0.3">
      <c r="A25" s="53">
        <f>YEAR(Table5[[#This Row],[Date]])+IF(MONTH(Table5[[#This Row],[Date]])&gt;=4,1,0)</f>
        <v>2026</v>
      </c>
      <c r="B25" s="53">
        <v>4</v>
      </c>
      <c r="C25" s="92">
        <f>YEAR(Table5[[#This Row],[Date]])</f>
        <v>2025</v>
      </c>
      <c r="D25" s="53" t="s">
        <v>317</v>
      </c>
      <c r="E25" s="53" t="s">
        <v>317</v>
      </c>
      <c r="F25" s="94" t="str">
        <f>TEXT(Table5[[#This Row],[Date]],"mmm-yy")</f>
        <v>Apr-25</v>
      </c>
      <c r="G25" s="92">
        <f t="shared" si="3"/>
        <v>30</v>
      </c>
      <c r="H25" s="93">
        <f t="shared" si="2"/>
        <v>45768</v>
      </c>
      <c r="I25" s="53">
        <v>8.02</v>
      </c>
      <c r="J25" s="55">
        <f>IFERROR(Inv_SY!J27/Inv_SY!$Y27-1,"")</f>
        <v>0.34048191505458414</v>
      </c>
      <c r="K25" s="55">
        <f>IFERROR(Inv_SY!K27/Inv_SY!$Y27-1,"")</f>
        <v>0.32847796503703819</v>
      </c>
      <c r="L25" s="55">
        <f>IFERROR(Inv_SY!L27/Inv_SY!$Y27-1,"")</f>
        <v>-1</v>
      </c>
      <c r="M25" s="55">
        <f>IFERROR(Inv_SY!M27/Inv_SY!$Y27-1,"")</f>
        <v>0.31968660438548846</v>
      </c>
      <c r="N25" s="55">
        <f>IFERROR(Inv_SY!N27/Inv_SY!$Y27-1,"")</f>
        <v>0.33419613973314055</v>
      </c>
      <c r="O25" s="55">
        <f>IFERROR(Inv_SY!O27/Inv_SY!$Y27-1,"")</f>
        <v>0.29630745931085856</v>
      </c>
      <c r="P25" s="55">
        <f>IFERROR(Inv_SY!P27/Inv_SY!$Y27-1,"")</f>
        <v>0.29755243238059403</v>
      </c>
      <c r="Q25" s="55">
        <f>IFERROR(Inv_SY!Q27/Inv_SY!$Y27-1,"")</f>
        <v>-1</v>
      </c>
      <c r="R25" s="55">
        <f>IFERROR(Inv_SY!R27/Inv_SY!$Y27-1,"")</f>
        <v>4.6846213978469997E-2</v>
      </c>
      <c r="S25" s="55">
        <f>IFERROR(Inv_SY!S27/Inv_SY!$Y27-1,"")</f>
        <v>3.6707441401788055E-2</v>
      </c>
      <c r="T25" s="55">
        <f>IFERROR(Inv_SY!T27/Inv_SY!$Y27-1,"")</f>
        <v>4.3096916668678986E-3</v>
      </c>
      <c r="U25" s="55">
        <f>IFERROR(Inv_SY!U27/Inv_SY!$Y27-1,"")</f>
        <v>-4.0123173069537277E-3</v>
      </c>
      <c r="V25" s="55">
        <f>IFERROR(Inv_SY!J27/Inv_SY!$Z27-1,"")</f>
        <v>0.31434280163164896</v>
      </c>
      <c r="W25" s="55">
        <f>IFERROR(Inv_SY!K27/Inv_SY!$Z27-1,"")</f>
        <v>0.30257292609694963</v>
      </c>
      <c r="X25" s="55">
        <f>IFERROR(Inv_SY!L27/Inv_SY!$Z27-1,"")</f>
        <v>-1</v>
      </c>
      <c r="Y25" s="55">
        <f>IFERROR(Inv_SY!M27/Inv_SY!$Z27-1,"")</f>
        <v>0.293952995116052</v>
      </c>
      <c r="Z25" s="55">
        <f>IFERROR(Inv_SY!N27/Inv_SY!$Z27-1,"")</f>
        <v>0.30817959759761537</v>
      </c>
      <c r="AA25" s="55">
        <f>IFERROR(Inv_SY!O27/Inv_SY!$Z27-1,"")</f>
        <v>0.27102973841856004</v>
      </c>
      <c r="AB25" s="55">
        <f>IFERROR(Inv_SY!P27/Inv_SY!$Z27-1,"")</f>
        <v>0.27225043477712707</v>
      </c>
      <c r="AC25" s="55">
        <f>IFERROR(Inv_SY!Q27/Inv_SY!$Z27-1,"")</f>
        <v>-1</v>
      </c>
      <c r="AD25" s="55">
        <f>IFERROR(Inv_SY!R27/Inv_SY!$Z27-1,"")</f>
        <v>2.6432934533040742E-2</v>
      </c>
      <c r="AE25" s="55">
        <f>IFERROR(Inv_SY!S27/Inv_SY!$Z27-1,"")</f>
        <v>1.6491865874162182E-2</v>
      </c>
      <c r="AF25" s="55">
        <f>IFERROR(Inv_SY!T27/Inv_SY!$Z27-1,"")</f>
        <v>-1.5274134602928813E-2</v>
      </c>
      <c r="AG25" s="55">
        <f>IFERROR(Inv_SY!U27/Inv_SY!$Z27-1,"")</f>
        <v>-2.3433866164403239E-2</v>
      </c>
      <c r="AH25" s="55">
        <f>IFERROR(Inv_SY!V27/Inv_SY!$Y27-1,"")</f>
        <v>-3.5440134590528638E-3</v>
      </c>
      <c r="AI25" s="55">
        <f>IFERROR(Inv_SY!W27/Inv_SY!$Y27-1,"")</f>
        <v>-1.6343578568298045E-2</v>
      </c>
      <c r="AJ25" s="55">
        <f>IFERROR(Inv_SY!X27/Inv_SY!$Y27-1,"")</f>
        <v>1.9887592027350687E-2</v>
      </c>
      <c r="AK25" s="55">
        <f>IFERROR(Inv_SY!V27/Inv_SY!$Z27-1,"")</f>
        <v>-2.2974694142347207E-2</v>
      </c>
      <c r="AL25" s="55">
        <f>IFERROR(Inv_SY!W27/Inv_SY!$Z27-1,"")</f>
        <v>-3.5524670442972694E-2</v>
      </c>
      <c r="AM25" s="55">
        <f>IFERROR(Inv_SY!X27/Inv_SY!$Z27-1,"")</f>
        <v>0</v>
      </c>
    </row>
    <row r="26" spans="1:39" x14ac:dyDescent="0.3">
      <c r="A26" s="53">
        <f>YEAR(Table5[[#This Row],[Date]])+IF(MONTH(Table5[[#This Row],[Date]])&gt;=4,1,0)</f>
        <v>2026</v>
      </c>
      <c r="B26" s="53">
        <v>4</v>
      </c>
      <c r="C26" s="92">
        <f>YEAR(Table5[[#This Row],[Date]])</f>
        <v>2025</v>
      </c>
      <c r="D26" s="53" t="s">
        <v>317</v>
      </c>
      <c r="E26" s="53" t="s">
        <v>317</v>
      </c>
      <c r="F26" s="94" t="str">
        <f>TEXT(Table5[[#This Row],[Date]],"mmm-yy")</f>
        <v>Apr-25</v>
      </c>
      <c r="G26" s="92">
        <f t="shared" si="3"/>
        <v>30</v>
      </c>
      <c r="H26" s="93">
        <f t="shared" si="2"/>
        <v>45769</v>
      </c>
      <c r="I26" s="53">
        <v>8.02</v>
      </c>
      <c r="J26" s="55">
        <f>IFERROR(Inv_SY!J28/Inv_SY!$Y28-1,"")</f>
        <v>0.33347647724325125</v>
      </c>
      <c r="K26" s="55">
        <f>IFERROR(Inv_SY!K28/Inv_SY!$Y28-1,"")</f>
        <v>0.33284838417533602</v>
      </c>
      <c r="L26" s="55">
        <f>IFERROR(Inv_SY!L28/Inv_SY!$Y28-1,"")</f>
        <v>-1</v>
      </c>
      <c r="M26" s="55">
        <f>IFERROR(Inv_SY!M28/Inv_SY!$Y28-1,"")</f>
        <v>0.32831271033657305</v>
      </c>
      <c r="N26" s="55">
        <f>IFERROR(Inv_SY!N28/Inv_SY!$Y28-1,"")</f>
        <v>0.33923514109999275</v>
      </c>
      <c r="O26" s="55">
        <f>IFERROR(Inv_SY!O28/Inv_SY!$Y28-1,"")</f>
        <v>0.30657086936584665</v>
      </c>
      <c r="P26" s="55">
        <f>IFERROR(Inv_SY!P28/Inv_SY!$Y28-1,"")</f>
        <v>0.30876976713730908</v>
      </c>
      <c r="Q26" s="55">
        <f>IFERROR(Inv_SY!Q28/Inv_SY!$Y28-1,"")</f>
        <v>-1</v>
      </c>
      <c r="R26" s="55">
        <f>IFERROR(Inv_SY!R28/Inv_SY!$Y28-1,"")</f>
        <v>1.0865190813475145E-2</v>
      </c>
      <c r="S26" s="55">
        <f>IFERROR(Inv_SY!S28/Inv_SY!$Y28-1,"")</f>
        <v>3.4984772775764617E-2</v>
      </c>
      <c r="T26" s="55">
        <f>IFERROR(Inv_SY!T28/Inv_SY!$Y28-1,"")</f>
        <v>1.6698360954682911E-2</v>
      </c>
      <c r="U26" s="55">
        <f>IFERROR(Inv_SY!U28/Inv_SY!$Y28-1,"")</f>
        <v>-1.154421458195809E-2</v>
      </c>
      <c r="V26" s="55">
        <f>IFERROR(Inv_SY!J28/Inv_SY!$Z28-1,"")</f>
        <v>0.31802497235985094</v>
      </c>
      <c r="W26" s="55">
        <f>IFERROR(Inv_SY!K28/Inv_SY!$Z28-1,"")</f>
        <v>0.31740415724791893</v>
      </c>
      <c r="X26" s="55">
        <f>IFERROR(Inv_SY!L28/Inv_SY!$Z28-1,"")</f>
        <v>-1</v>
      </c>
      <c r="Y26" s="55">
        <f>IFERROR(Inv_SY!M28/Inv_SY!$Z28-1,"")</f>
        <v>0.31292104000664023</v>
      </c>
      <c r="Z26" s="55">
        <f>IFERROR(Inv_SY!N28/Inv_SY!$Z28-1,"")</f>
        <v>0.32371690836332845</v>
      </c>
      <c r="AA26" s="55">
        <f>IFERROR(Inv_SY!O28/Inv_SY!$Z28-1,"")</f>
        <v>0.29143113011056432</v>
      </c>
      <c r="AB26" s="55">
        <f>IFERROR(Inv_SY!P28/Inv_SY!$Z28-1,"")</f>
        <v>0.29360454840771033</v>
      </c>
      <c r="AC26" s="55">
        <f>IFERROR(Inv_SY!Q28/Inv_SY!$Z28-1,"")</f>
        <v>-1</v>
      </c>
      <c r="AD26" s="55">
        <f>IFERROR(Inv_SY!R28/Inv_SY!$Z28-1,"")</f>
        <v>-8.480929968284201E-4</v>
      </c>
      <c r="AE26" s="55">
        <f>IFERROR(Inv_SY!S28/Inv_SY!$Z28-1,"")</f>
        <v>2.2992006091307804E-2</v>
      </c>
      <c r="AF26" s="55">
        <f>IFERROR(Inv_SY!T28/Inv_SY!$Z28-1,"")</f>
        <v>4.9174859581375685E-3</v>
      </c>
      <c r="AG26" s="55">
        <f>IFERROR(Inv_SY!U28/Inv_SY!$Z28-1,"")</f>
        <v>-2.2997831991833251E-2</v>
      </c>
      <c r="AH26" s="55">
        <f>IFERROR(Inv_SY!V28/Inv_SY!$Y28-1,"")</f>
        <v>-2.0206727087914711E-3</v>
      </c>
      <c r="AI26" s="55">
        <f>IFERROR(Inv_SY!W28/Inv_SY!$Y28-1,"")</f>
        <v>-9.702553487549781E-3</v>
      </c>
      <c r="AJ26" s="55">
        <f>IFERROR(Inv_SY!X28/Inv_SY!$Y28-1,"")</f>
        <v>1.1723226196340919E-2</v>
      </c>
      <c r="AK26" s="55">
        <f>IFERROR(Inv_SY!V28/Inv_SY!$Z28-1,"")</f>
        <v>-1.3584643061723134E-2</v>
      </c>
      <c r="AL26" s="55">
        <f>IFERROR(Inv_SY!W28/Inv_SY!$Z28-1,"")</f>
        <v>-2.1177510932948174E-2</v>
      </c>
      <c r="AM26" s="55">
        <f>IFERROR(Inv_SY!X28/Inv_SY!$Z28-1,"")</f>
        <v>0</v>
      </c>
    </row>
    <row r="27" spans="1:39" x14ac:dyDescent="0.3">
      <c r="A27" s="53">
        <f>YEAR(Table5[[#This Row],[Date]])+IF(MONTH(Table5[[#This Row],[Date]])&gt;=4,1,0)</f>
        <v>2026</v>
      </c>
      <c r="B27" s="53">
        <v>4</v>
      </c>
      <c r="C27" s="92">
        <f>YEAR(Table5[[#This Row],[Date]])</f>
        <v>2025</v>
      </c>
      <c r="D27" s="53" t="s">
        <v>317</v>
      </c>
      <c r="E27" s="53" t="s">
        <v>317</v>
      </c>
      <c r="F27" s="94" t="str">
        <f>TEXT(Table5[[#This Row],[Date]],"mmm-yy")</f>
        <v>Apr-25</v>
      </c>
      <c r="G27" s="92">
        <f t="shared" si="3"/>
        <v>30</v>
      </c>
      <c r="H27" s="93">
        <f t="shared" si="2"/>
        <v>45770</v>
      </c>
      <c r="I27" s="53">
        <v>8.02</v>
      </c>
      <c r="J27" s="55">
        <f>IFERROR(Inv_SY!J29/Inv_SY!$Y29-1,"")</f>
        <v>0.33490245952445896</v>
      </c>
      <c r="K27" s="55">
        <f>IFERROR(Inv_SY!K29/Inv_SY!$Y29-1,"")</f>
        <v>0.33439516760172983</v>
      </c>
      <c r="L27" s="55">
        <f>IFERROR(Inv_SY!L29/Inv_SY!$Y29-1,"")</f>
        <v>-1</v>
      </c>
      <c r="M27" s="55">
        <f>IFERROR(Inv_SY!M29/Inv_SY!$Y29-1,"")</f>
        <v>0.33856853516558783</v>
      </c>
      <c r="N27" s="55">
        <f>IFERROR(Inv_SY!N29/Inv_SY!$Y29-1,"")</f>
        <v>0.30986576167997582</v>
      </c>
      <c r="O27" s="55">
        <f>IFERROR(Inv_SY!O29/Inv_SY!$Y29-1,"")</f>
        <v>0.32898009363498626</v>
      </c>
      <c r="P27" s="55">
        <f>IFERROR(Inv_SY!P29/Inv_SY!$Y29-1,"")</f>
        <v>0.30482016731034878</v>
      </c>
      <c r="Q27" s="55">
        <f>IFERROR(Inv_SY!Q29/Inv_SY!$Y29-1,"")</f>
        <v>-1</v>
      </c>
      <c r="R27" s="55">
        <f>IFERROR(Inv_SY!R29/Inv_SY!$Y29-1,"")</f>
        <v>1.0851975847623097E-2</v>
      </c>
      <c r="S27" s="55">
        <f>IFERROR(Inv_SY!S29/Inv_SY!$Y29-1,"")</f>
        <v>2.8607652340028045E-2</v>
      </c>
      <c r="T27" s="55">
        <f>IFERROR(Inv_SY!T29/Inv_SY!$Y29-1,"")</f>
        <v>2.1271520567619717E-2</v>
      </c>
      <c r="U27" s="55">
        <f>IFERROR(Inv_SY!U29/Inv_SY!$Y29-1,"")</f>
        <v>-1.2266602312954622E-2</v>
      </c>
      <c r="V27" s="55">
        <f>IFERROR(Inv_SY!J29/Inv_SY!$Z29-1,"")</f>
        <v>0.32021264345205602</v>
      </c>
      <c r="W27" s="55">
        <f>IFERROR(Inv_SY!K29/Inv_SY!$Z29-1,"")</f>
        <v>0.31971093397843142</v>
      </c>
      <c r="X27" s="55">
        <f>IFERROR(Inv_SY!L29/Inv_SY!$Z29-1,"")</f>
        <v>-1</v>
      </c>
      <c r="Y27" s="55">
        <f>IFERROR(Inv_SY!M29/Inv_SY!$Z29-1,"")</f>
        <v>0.32383837608797772</v>
      </c>
      <c r="Z27" s="55">
        <f>IFERROR(Inv_SY!N29/Inv_SY!$Z29-1,"")</f>
        <v>0.29545145973504439</v>
      </c>
      <c r="AA27" s="55">
        <f>IFERROR(Inv_SY!O29/Inv_SY!$Z29-1,"")</f>
        <v>0.31435544971430796</v>
      </c>
      <c r="AB27" s="55">
        <f>IFERROR(Inv_SY!P29/Inv_SY!$Z29-1,"")</f>
        <v>0.29046138916248365</v>
      </c>
      <c r="AC27" s="55">
        <f>IFERROR(Inv_SY!Q29/Inv_SY!$Z29-1,"")</f>
        <v>-1</v>
      </c>
      <c r="AD27" s="55">
        <f>IFERROR(Inv_SY!R29/Inv_SY!$Z29-1,"")</f>
        <v>-2.7185533245932536E-4</v>
      </c>
      <c r="AE27" s="55">
        <f>IFERROR(Inv_SY!S29/Inv_SY!$Z29-1,"")</f>
        <v>1.7288430388093134E-2</v>
      </c>
      <c r="AF27" s="55">
        <f>IFERROR(Inv_SY!T29/Inv_SY!$Z29-1,"")</f>
        <v>1.003302842905085E-2</v>
      </c>
      <c r="AG27" s="55">
        <f>IFERROR(Inv_SY!U29/Inv_SY!$Z29-1,"")</f>
        <v>-2.3136027144010307E-2</v>
      </c>
      <c r="AH27" s="55">
        <f>IFERROR(Inv_SY!V29/Inv_SY!$Y29-1,"")</f>
        <v>1.3076977845922766E-3</v>
      </c>
      <c r="AI27" s="55">
        <f>IFERROR(Inv_SY!W29/Inv_SY!$Y29-1,"")</f>
        <v>-1.2434553859831721E-2</v>
      </c>
      <c r="AJ27" s="55">
        <f>IFERROR(Inv_SY!X29/Inv_SY!$Y29-1,"")</f>
        <v>1.1126856075239999E-2</v>
      </c>
      <c r="AK27" s="55">
        <f>IFERROR(Inv_SY!V29/Inv_SY!$Z29-1,"")</f>
        <v>-9.7111042315317642E-3</v>
      </c>
      <c r="AL27" s="55">
        <f>IFERROR(Inv_SY!W29/Inv_SY!$Z29-1,"")</f>
        <v>-2.3302130482941497E-2</v>
      </c>
      <c r="AM27" s="55">
        <f>IFERROR(Inv_SY!X29/Inv_SY!$Z29-1,"")</f>
        <v>0</v>
      </c>
    </row>
    <row r="28" spans="1:39" x14ac:dyDescent="0.3">
      <c r="A28" s="53">
        <f>YEAR(Table5[[#This Row],[Date]])+IF(MONTH(Table5[[#This Row],[Date]])&gt;=4,1,0)</f>
        <v>2026</v>
      </c>
      <c r="B28" s="53">
        <v>4</v>
      </c>
      <c r="C28" s="92">
        <f>YEAR(Table5[[#This Row],[Date]])</f>
        <v>2025</v>
      </c>
      <c r="D28" s="53" t="s">
        <v>317</v>
      </c>
      <c r="E28" s="53" t="s">
        <v>317</v>
      </c>
      <c r="F28" s="94" t="str">
        <f>TEXT(Table5[[#This Row],[Date]],"mmm-yy")</f>
        <v>Apr-25</v>
      </c>
      <c r="G28" s="92">
        <f t="shared" si="3"/>
        <v>30</v>
      </c>
      <c r="H28" s="93">
        <f t="shared" si="2"/>
        <v>45771</v>
      </c>
      <c r="I28" s="53">
        <v>8.02</v>
      </c>
      <c r="J28" s="55">
        <f>IFERROR(Inv_SY!J30/Inv_SY!$Y30-1,"")</f>
        <v>0.36142203155382435</v>
      </c>
      <c r="K28" s="55">
        <f>IFERROR(Inv_SY!K30/Inv_SY!$Y30-1,"")</f>
        <v>0.33611641404069981</v>
      </c>
      <c r="L28" s="55">
        <f>IFERROR(Inv_SY!L30/Inv_SY!$Y30-1,"")</f>
        <v>-1</v>
      </c>
      <c r="M28" s="55">
        <f>IFERROR(Inv_SY!M30/Inv_SY!$Y30-1,"")</f>
        <v>0.31434522896349981</v>
      </c>
      <c r="N28" s="55">
        <f>IFERROR(Inv_SY!N30/Inv_SY!$Y30-1,"")</f>
        <v>0.30890482101946937</v>
      </c>
      <c r="O28" s="55">
        <f>IFERROR(Inv_SY!O30/Inv_SY!$Y30-1,"")</f>
        <v>0.30141442002118723</v>
      </c>
      <c r="P28" s="55">
        <f>IFERROR(Inv_SY!P30/Inv_SY!$Y30-1,"")</f>
        <v>0.3300763197315093</v>
      </c>
      <c r="Q28" s="55">
        <f>IFERROR(Inv_SY!Q30/Inv_SY!$Y30-1,"")</f>
        <v>-1</v>
      </c>
      <c r="R28" s="55">
        <f>IFERROR(Inv_SY!R30/Inv_SY!$Y30-1,"")</f>
        <v>1.1854646769526855E-2</v>
      </c>
      <c r="S28" s="55">
        <f>IFERROR(Inv_SY!S30/Inv_SY!$Y30-1,"")</f>
        <v>2.8850572418699372E-2</v>
      </c>
      <c r="T28" s="55">
        <f>IFERROR(Inv_SY!T30/Inv_SY!$Y30-1,"")</f>
        <v>-3.0499358640643237E-3</v>
      </c>
      <c r="U28" s="55">
        <f>IFERROR(Inv_SY!U30/Inv_SY!$Y30-1,"")</f>
        <v>1.0502064143633083E-2</v>
      </c>
      <c r="V28" s="55">
        <f>IFERROR(Inv_SY!J30/Inv_SY!$Z30-1,"")</f>
        <v>0.34654994398595074</v>
      </c>
      <c r="W28" s="55">
        <f>IFERROR(Inv_SY!K30/Inv_SY!$Z30-1,"")</f>
        <v>0.32152076342690195</v>
      </c>
      <c r="X28" s="55">
        <f>IFERROR(Inv_SY!L30/Inv_SY!$Z30-1,"")</f>
        <v>-1</v>
      </c>
      <c r="Y28" s="55">
        <f>IFERROR(Inv_SY!M30/Inv_SY!$Z30-1,"")</f>
        <v>0.29998740538894486</v>
      </c>
      <c r="Z28" s="55">
        <f>IFERROR(Inv_SY!N30/Inv_SY!$Z30-1,"")</f>
        <v>0.29460642811481197</v>
      </c>
      <c r="AA28" s="55">
        <f>IFERROR(Inv_SY!O30/Inv_SY!$Z30-1,"")</f>
        <v>0.28719785177999424</v>
      </c>
      <c r="AB28" s="55">
        <f>IFERROR(Inv_SY!P30/Inv_SY!$Z30-1,"")</f>
        <v>0.31554665072326982</v>
      </c>
      <c r="AC28" s="55">
        <f>IFERROR(Inv_SY!Q30/Inv_SY!$Z30-1,"")</f>
        <v>-1</v>
      </c>
      <c r="AD28" s="55">
        <f>IFERROR(Inv_SY!R30/Inv_SY!$Z30-1,"")</f>
        <v>8.0121105015540373E-4</v>
      </c>
      <c r="AE28" s="55">
        <f>IFERROR(Inv_SY!S30/Inv_SY!$Z30-1,"")</f>
        <v>1.7611474289955131E-2</v>
      </c>
      <c r="AF28" s="55">
        <f>IFERROR(Inv_SY!T30/Inv_SY!$Z30-1,"")</f>
        <v>-1.3940554871973765E-2</v>
      </c>
      <c r="AG28" s="55">
        <f>IFERROR(Inv_SY!U30/Inv_SY!$Z30-1,"")</f>
        <v>-5.3659604927491777E-4</v>
      </c>
      <c r="AH28" s="55">
        <f>IFERROR(Inv_SY!V30/Inv_SY!$Y30-1,"")</f>
        <v>2.2089501064568307E-3</v>
      </c>
      <c r="AI28" s="55">
        <f>IFERROR(Inv_SY!W30/Inv_SY!$Y30-1,"")</f>
        <v>-1.3253536780940101E-2</v>
      </c>
      <c r="AJ28" s="55">
        <f>IFERROR(Inv_SY!X30/Inv_SY!$Y30-1,"")</f>
        <v>1.1044586674483492E-2</v>
      </c>
      <c r="AK28" s="55">
        <f>IFERROR(Inv_SY!V30/Inv_SY!$Z30-1,"")</f>
        <v>-8.7391166368721018E-3</v>
      </c>
      <c r="AL28" s="55">
        <f>IFERROR(Inv_SY!W30/Inv_SY!$Z30-1,"")</f>
        <v>-2.4032692302269898E-2</v>
      </c>
      <c r="AM28" s="55">
        <f>IFERROR(Inv_SY!X30/Inv_SY!$Z30-1,"")</f>
        <v>0</v>
      </c>
    </row>
    <row r="29" spans="1:39" x14ac:dyDescent="0.3">
      <c r="A29" s="53">
        <f>YEAR(Table5[[#This Row],[Date]])+IF(MONTH(Table5[[#This Row],[Date]])&gt;=4,1,0)</f>
        <v>2026</v>
      </c>
      <c r="B29" s="53">
        <v>4</v>
      </c>
      <c r="C29" s="92">
        <f>YEAR(Table5[[#This Row],[Date]])</f>
        <v>2025</v>
      </c>
      <c r="D29" s="53" t="s">
        <v>317</v>
      </c>
      <c r="E29" s="53" t="s">
        <v>317</v>
      </c>
      <c r="F29" s="94" t="str">
        <f>TEXT(Table5[[#This Row],[Date]],"mmm-yy")</f>
        <v>Apr-25</v>
      </c>
      <c r="G29" s="92">
        <f t="shared" si="3"/>
        <v>30</v>
      </c>
      <c r="H29" s="93">
        <f t="shared" si="2"/>
        <v>45772</v>
      </c>
      <c r="I29" s="53">
        <v>8.02</v>
      </c>
      <c r="J29" s="55">
        <f>IFERROR(Inv_SY!J31/Inv_SY!$Y31-1,"")</f>
        <v>0.34021098538543848</v>
      </c>
      <c r="K29" s="55">
        <f>IFERROR(Inv_SY!K31/Inv_SY!$Y31-1,"")</f>
        <v>0.33386281409773932</v>
      </c>
      <c r="L29" s="55">
        <f>IFERROR(Inv_SY!L31/Inv_SY!$Y31-1,"")</f>
        <v>-1</v>
      </c>
      <c r="M29" s="55">
        <f>IFERROR(Inv_SY!M31/Inv_SY!$Y31-1,"")</f>
        <v>0.33878249866243615</v>
      </c>
      <c r="N29" s="55">
        <f>IFERROR(Inv_SY!N31/Inv_SY!$Y31-1,"")</f>
        <v>0.33751132912904969</v>
      </c>
      <c r="O29" s="55">
        <f>IFERROR(Inv_SY!O31/Inv_SY!$Y31-1,"")</f>
        <v>0.30297286972191473</v>
      </c>
      <c r="P29" s="55">
        <f>IFERROR(Inv_SY!P31/Inv_SY!$Y31-1,"")</f>
        <v>0.30714784833156838</v>
      </c>
      <c r="Q29" s="55">
        <f>IFERROR(Inv_SY!Q31/Inv_SY!$Y31-1,"")</f>
        <v>-1</v>
      </c>
      <c r="R29" s="55">
        <f>IFERROR(Inv_SY!R31/Inv_SY!$Y31-1,"")</f>
        <v>3.4030291193645423E-2</v>
      </c>
      <c r="S29" s="55">
        <f>IFERROR(Inv_SY!S31/Inv_SY!$Y31-1,"")</f>
        <v>2.3131121662433696E-2</v>
      </c>
      <c r="T29" s="55">
        <f>IFERROR(Inv_SY!T31/Inv_SY!$Y31-1,"")</f>
        <v>-1.7242180502531346E-3</v>
      </c>
      <c r="U29" s="55">
        <f>IFERROR(Inv_SY!U31/Inv_SY!$Y31-1,"")</f>
        <v>-1.5696402107008289E-2</v>
      </c>
      <c r="V29" s="55">
        <f>IFERROR(Inv_SY!J31/Inv_SY!$Z31-1,"")</f>
        <v>0.32839780892722259</v>
      </c>
      <c r="W29" s="55">
        <f>IFERROR(Inv_SY!K31/Inv_SY!$Z31-1,"")</f>
        <v>0.32210559305880171</v>
      </c>
      <c r="X29" s="55">
        <f>IFERROR(Inv_SY!L31/Inv_SY!$Z31-1,"")</f>
        <v>-1</v>
      </c>
      <c r="Y29" s="55">
        <f>IFERROR(Inv_SY!M31/Inv_SY!$Z31-1,"")</f>
        <v>0.32698191347970695</v>
      </c>
      <c r="Z29" s="55">
        <f>IFERROR(Inv_SY!N31/Inv_SY!$Z31-1,"")</f>
        <v>0.32572194856273518</v>
      </c>
      <c r="AA29" s="55">
        <f>IFERROR(Inv_SY!O31/Inv_SY!$Z31-1,"")</f>
        <v>0.2914879254869096</v>
      </c>
      <c r="AB29" s="55">
        <f>IFERROR(Inv_SY!P31/Inv_SY!$Z31-1,"")</f>
        <v>0.29562610410047108</v>
      </c>
      <c r="AC29" s="55">
        <f>IFERROR(Inv_SY!Q31/Inv_SY!$Z31-1,"")</f>
        <v>-1</v>
      </c>
      <c r="AD29" s="55">
        <f>IFERROR(Inv_SY!R31/Inv_SY!$Z31-1,"")</f>
        <v>2.491591858648623E-2</v>
      </c>
      <c r="AE29" s="55">
        <f>IFERROR(Inv_SY!S31/Inv_SY!$Z31-1,"")</f>
        <v>1.4112818863927235E-2</v>
      </c>
      <c r="AF29" s="55">
        <f>IFERROR(Inv_SY!T31/Inv_SY!$Z31-1,"")</f>
        <v>-1.0523435557595162E-2</v>
      </c>
      <c r="AG29" s="55">
        <f>IFERROR(Inv_SY!U31/Inv_SY!$Z31-1,"")</f>
        <v>-2.4372462978888509E-2</v>
      </c>
      <c r="AH29" s="55">
        <f>IFERROR(Inv_SY!V31/Inv_SY!$Y31-1,"")</f>
        <v>2.5485891129879423E-3</v>
      </c>
      <c r="AI29" s="55">
        <f>IFERROR(Inv_SY!W31/Inv_SY!$Y31-1,"")</f>
        <v>-1.1441389431407822E-2</v>
      </c>
      <c r="AJ29" s="55">
        <f>IFERROR(Inv_SY!X31/Inv_SY!$Y31-1,"")</f>
        <v>8.892800318419436E-3</v>
      </c>
      <c r="AK29" s="55">
        <f>IFERROR(Inv_SY!V31/Inv_SY!$Z31-1,"")</f>
        <v>-6.2882906919636827E-3</v>
      </c>
      <c r="AL29" s="55">
        <f>IFERROR(Inv_SY!W31/Inv_SY!$Z31-1,"")</f>
        <v>-2.0154955752890391E-2</v>
      </c>
      <c r="AM29" s="55">
        <f>IFERROR(Inv_SY!X31/Inv_SY!$Z31-1,"")</f>
        <v>0</v>
      </c>
    </row>
    <row r="30" spans="1:39" x14ac:dyDescent="0.3">
      <c r="A30" s="53">
        <f>YEAR(Table5[[#This Row],[Date]])+IF(MONTH(Table5[[#This Row],[Date]])&gt;=4,1,0)</f>
        <v>2026</v>
      </c>
      <c r="B30" s="53">
        <v>4</v>
      </c>
      <c r="C30" s="92">
        <f>YEAR(Table5[[#This Row],[Date]])</f>
        <v>2025</v>
      </c>
      <c r="D30" s="53" t="s">
        <v>317</v>
      </c>
      <c r="E30" s="53" t="s">
        <v>317</v>
      </c>
      <c r="F30" s="94" t="str">
        <f>TEXT(Table5[[#This Row],[Date]],"mmm-yy")</f>
        <v>Apr-25</v>
      </c>
      <c r="G30" s="92">
        <f t="shared" si="3"/>
        <v>30</v>
      </c>
      <c r="H30" s="93">
        <f t="shared" si="2"/>
        <v>45773</v>
      </c>
      <c r="I30" s="53">
        <v>8.02</v>
      </c>
      <c r="J30" s="55">
        <f>IFERROR(Inv_SY!J32/Inv_SY!$Y32-1,"")</f>
        <v>0.354559819788973</v>
      </c>
      <c r="K30" s="55">
        <f>IFERROR(Inv_SY!K32/Inv_SY!$Y32-1,"")</f>
        <v>0.33644539749583302</v>
      </c>
      <c r="L30" s="55">
        <f>IFERROR(Inv_SY!L32/Inv_SY!$Y32-1,"")</f>
        <v>-1</v>
      </c>
      <c r="M30" s="55">
        <f>IFERROR(Inv_SY!M32/Inv_SY!$Y32-1,"")</f>
        <v>0.3141870629839516</v>
      </c>
      <c r="N30" s="55">
        <f>IFERROR(Inv_SY!N32/Inv_SY!$Y32-1,"")</f>
        <v>0.31466410091151586</v>
      </c>
      <c r="O30" s="55">
        <f>IFERROR(Inv_SY!O32/Inv_SY!$Y32-1,"")</f>
        <v>0.30661934160641802</v>
      </c>
      <c r="P30" s="55">
        <f>IFERROR(Inv_SY!P32/Inv_SY!$Y32-1,"")</f>
        <v>0.32777771262429689</v>
      </c>
      <c r="Q30" s="55">
        <f>IFERROR(Inv_SY!Q32/Inv_SY!$Y32-1,"")</f>
        <v>-1</v>
      </c>
      <c r="R30" s="55">
        <f>IFERROR(Inv_SY!R32/Inv_SY!$Y32-1,"")</f>
        <v>1.1530743827260492E-2</v>
      </c>
      <c r="S30" s="55">
        <f>IFERROR(Inv_SY!S32/Inv_SY!$Y32-1,"")</f>
        <v>2.964950930148591E-2</v>
      </c>
      <c r="T30" s="55">
        <f>IFERROR(Inv_SY!T32/Inv_SY!$Y32-1,"")</f>
        <v>1.5435198651143844E-2</v>
      </c>
      <c r="U30" s="55">
        <f>IFERROR(Inv_SY!U32/Inv_SY!$Y32-1,"")</f>
        <v>-1.0448070951314059E-2</v>
      </c>
      <c r="V30" s="55">
        <f>IFERROR(Inv_SY!J32/Inv_SY!$Z32-1,"")</f>
        <v>0.34043433604044959</v>
      </c>
      <c r="W30" s="55">
        <f>IFERROR(Inv_SY!K32/Inv_SY!$Z32-1,"")</f>
        <v>0.32250881273425547</v>
      </c>
      <c r="X30" s="55">
        <f>IFERROR(Inv_SY!L32/Inv_SY!$Z32-1,"")</f>
        <v>-1</v>
      </c>
      <c r="Y30" s="55">
        <f>IFERROR(Inv_SY!M32/Inv_SY!$Z32-1,"")</f>
        <v>0.30048259033571423</v>
      </c>
      <c r="Z30" s="55">
        <f>IFERROR(Inv_SY!N32/Inv_SY!$Z32-1,"")</f>
        <v>0.30095465366459706</v>
      </c>
      <c r="AA30" s="55">
        <f>IFERROR(Inv_SY!O32/Inv_SY!$Z32-1,"")</f>
        <v>0.29299378590505132</v>
      </c>
      <c r="AB30" s="55">
        <f>IFERROR(Inv_SY!P32/Inv_SY!$Z32-1,"")</f>
        <v>0.31393151533767738</v>
      </c>
      <c r="AC30" s="55">
        <f>IFERROR(Inv_SY!Q32/Inv_SY!$Z32-1,"")</f>
        <v>-1</v>
      </c>
      <c r="AD30" s="55">
        <f>IFERROR(Inv_SY!R32/Inv_SY!$Z32-1,"")</f>
        <v>9.8240120383197294E-4</v>
      </c>
      <c r="AE30" s="55">
        <f>IFERROR(Inv_SY!S32/Inv_SY!$Z32-1,"")</f>
        <v>1.8912222399989798E-2</v>
      </c>
      <c r="AF30" s="55">
        <f>IFERROR(Inv_SY!T32/Inv_SY!$Z32-1,"")</f>
        <v>4.8461399867136823E-3</v>
      </c>
      <c r="AG30" s="55">
        <f>IFERROR(Inv_SY!U32/Inv_SY!$Z32-1,"")</f>
        <v>-2.0767216320822235E-2</v>
      </c>
      <c r="AH30" s="55">
        <f>IFERROR(Inv_SY!V32/Inv_SY!$Y32-1,"")</f>
        <v>5.455248082042452E-4</v>
      </c>
      <c r="AI30" s="55">
        <f>IFERROR(Inv_SY!W32/Inv_SY!$Y32-1,"")</f>
        <v>-1.108351489748316E-2</v>
      </c>
      <c r="AJ30" s="55">
        <f>IFERROR(Inv_SY!X32/Inv_SY!$Y32-1,"")</f>
        <v>1.0537990089279026E-2</v>
      </c>
      <c r="AK30" s="55">
        <f>IFERROR(Inv_SY!V32/Inv_SY!$Z32-1,"")</f>
        <v>-9.8882628650029947E-3</v>
      </c>
      <c r="AL30" s="55">
        <f>IFERROR(Inv_SY!W32/Inv_SY!$Z32-1,"")</f>
        <v>-2.1396033794683911E-2</v>
      </c>
      <c r="AM30" s="55">
        <f>IFERROR(Inv_SY!X32/Inv_SY!$Z32-1,"")</f>
        <v>0</v>
      </c>
    </row>
    <row r="31" spans="1:39" x14ac:dyDescent="0.3">
      <c r="A31" s="53">
        <f>YEAR(Table5[[#This Row],[Date]])+IF(MONTH(Table5[[#This Row],[Date]])&gt;=4,1,0)</f>
        <v>2026</v>
      </c>
      <c r="B31" s="53">
        <v>4</v>
      </c>
      <c r="C31" s="92">
        <f>YEAR(Table5[[#This Row],[Date]])</f>
        <v>2025</v>
      </c>
      <c r="D31" s="53" t="s">
        <v>317</v>
      </c>
      <c r="E31" s="53" t="s">
        <v>317</v>
      </c>
      <c r="F31" s="94" t="str">
        <f>TEXT(Table5[[#This Row],[Date]],"mmm-yy")</f>
        <v>Apr-25</v>
      </c>
      <c r="G31" s="92">
        <f t="shared" si="3"/>
        <v>30</v>
      </c>
      <c r="H31" s="93">
        <f t="shared" si="2"/>
        <v>45774</v>
      </c>
      <c r="I31" s="53">
        <v>8.02</v>
      </c>
      <c r="J31" s="55">
        <f>IFERROR(Inv_SY!J33/Inv_SY!$Y33-1,"")</f>
        <v>0.327614040604435</v>
      </c>
      <c r="K31" s="55">
        <f>IFERROR(Inv_SY!K33/Inv_SY!$Y33-1,"")</f>
        <v>0.36502381593162259</v>
      </c>
      <c r="L31" s="55">
        <f>IFERROR(Inv_SY!L33/Inv_SY!$Y33-1,"")</f>
        <v>-1</v>
      </c>
      <c r="M31" s="55">
        <f>IFERROR(Inv_SY!M33/Inv_SY!$Y33-1,"")</f>
        <v>0.3177475147630715</v>
      </c>
      <c r="N31" s="55">
        <f>IFERROR(Inv_SY!N33/Inv_SY!$Y33-1,"")</f>
        <v>0.34079661398361938</v>
      </c>
      <c r="O31" s="55">
        <f>IFERROR(Inv_SY!O33/Inv_SY!$Y33-1,"")</f>
        <v>0.3050619879766383</v>
      </c>
      <c r="P31" s="55">
        <f>IFERROR(Inv_SY!P33/Inv_SY!$Y33-1,"")</f>
        <v>0.29472007035146497</v>
      </c>
      <c r="Q31" s="55">
        <f>IFERROR(Inv_SY!Q33/Inv_SY!$Y33-1,"")</f>
        <v>-1</v>
      </c>
      <c r="R31" s="55">
        <f>IFERROR(Inv_SY!R33/Inv_SY!$Y33-1,"")</f>
        <v>1.4843737657359135E-2</v>
      </c>
      <c r="S31" s="55">
        <f>IFERROR(Inv_SY!S33/Inv_SY!$Y33-1,"")</f>
        <v>2.0036083842467578E-2</v>
      </c>
      <c r="T31" s="55">
        <f>IFERROR(Inv_SY!T33/Inv_SY!$Y33-1,"")</f>
        <v>-8.1285250647853413E-3</v>
      </c>
      <c r="U31" s="55">
        <f>IFERROR(Inv_SY!U33/Inv_SY!$Y33-1,"")</f>
        <v>2.2439789894533213E-2</v>
      </c>
      <c r="V31" s="55">
        <f>IFERROR(Inv_SY!J33/Inv_SY!$Z33-1,"")</f>
        <v>0.31270509790952228</v>
      </c>
      <c r="W31" s="55">
        <f>IFERROR(Inv_SY!K33/Inv_SY!$Z33-1,"")</f>
        <v>0.34969476605229932</v>
      </c>
      <c r="X31" s="55">
        <f>IFERROR(Inv_SY!L33/Inv_SY!$Z33-1,"")</f>
        <v>-1</v>
      </c>
      <c r="Y31" s="55">
        <f>IFERROR(Inv_SY!M33/Inv_SY!$Z33-1,"")</f>
        <v>0.30294937194211902</v>
      </c>
      <c r="Z31" s="55">
        <f>IFERROR(Inv_SY!N33/Inv_SY!$Z33-1,"")</f>
        <v>0.32573963260798289</v>
      </c>
      <c r="AA31" s="55">
        <f>IFERROR(Inv_SY!O33/Inv_SY!$Z33-1,"")</f>
        <v>0.29040630206419182</v>
      </c>
      <c r="AB31" s="55">
        <f>IFERROR(Inv_SY!P33/Inv_SY!$Z33-1,"")</f>
        <v>0.2801805229043508</v>
      </c>
      <c r="AC31" s="55">
        <f>IFERROR(Inv_SY!Q33/Inv_SY!$Z33-1,"")</f>
        <v>-1</v>
      </c>
      <c r="AD31" s="55">
        <f>IFERROR(Inv_SY!R33/Inv_SY!$Z33-1,"")</f>
        <v>3.4471670681115452E-3</v>
      </c>
      <c r="AE31" s="55">
        <f>IFERROR(Inv_SY!S33/Inv_SY!$Z33-1,"")</f>
        <v>8.581203842985996E-3</v>
      </c>
      <c r="AF31" s="55">
        <f>IFERROR(Inv_SY!T33/Inv_SY!$Z33-1,"")</f>
        <v>-1.9267119963793156E-2</v>
      </c>
      <c r="AG31" s="55">
        <f>IFERROR(Inv_SY!U33/Inv_SY!$Z33-1,"")</f>
        <v>1.0957916571171733E-2</v>
      </c>
      <c r="AH31" s="55">
        <f>IFERROR(Inv_SY!V33/Inv_SY!$Y33-1,"")</f>
        <v>1.8502626665695132E-3</v>
      </c>
      <c r="AI31" s="55">
        <f>IFERROR(Inv_SY!W33/Inv_SY!$Y33-1,"")</f>
        <v>-1.3207682332764703E-2</v>
      </c>
      <c r="AJ31" s="55">
        <f>IFERROR(Inv_SY!X33/Inv_SY!$Y33-1,"")</f>
        <v>1.1357419666195412E-2</v>
      </c>
      <c r="AK31" s="55">
        <f>IFERROR(Inv_SY!V33/Inv_SY!$Z33-1,"")</f>
        <v>-9.4003927936415765E-3</v>
      </c>
      <c r="AL31" s="55">
        <f>IFERROR(Inv_SY!W33/Inv_SY!$Z33-1,"")</f>
        <v>-2.4289238919182554E-2</v>
      </c>
      <c r="AM31" s="55">
        <f>IFERROR(Inv_SY!X33/Inv_SY!$Z33-1,"")</f>
        <v>0</v>
      </c>
    </row>
    <row r="32" spans="1:39" x14ac:dyDescent="0.3">
      <c r="A32" s="53">
        <f>YEAR(Table5[[#This Row],[Date]])+IF(MONTH(Table5[[#This Row],[Date]])&gt;=4,1,0)</f>
        <v>2026</v>
      </c>
      <c r="B32" s="53">
        <v>4</v>
      </c>
      <c r="C32" s="92">
        <f>YEAR(Table5[[#This Row],[Date]])</f>
        <v>2025</v>
      </c>
      <c r="D32" s="53" t="s">
        <v>317</v>
      </c>
      <c r="E32" s="53" t="s">
        <v>317</v>
      </c>
      <c r="F32" s="94" t="str">
        <f>TEXT(Table5[[#This Row],[Date]],"mmm-yy")</f>
        <v>Apr-25</v>
      </c>
      <c r="G32" s="92">
        <f t="shared" si="3"/>
        <v>30</v>
      </c>
      <c r="H32" s="93">
        <f t="shared" si="2"/>
        <v>45775</v>
      </c>
      <c r="I32" s="53">
        <v>8.02</v>
      </c>
      <c r="J32" s="55">
        <f>IFERROR(Inv_SY!J34/Inv_SY!$Y34-1,"")</f>
        <v>0.33689497452312689</v>
      </c>
      <c r="K32" s="55">
        <f>IFERROR(Inv_SY!K34/Inv_SY!$Y34-1,"")</f>
        <v>0.33639501379967029</v>
      </c>
      <c r="L32" s="55">
        <f>IFERROR(Inv_SY!L34/Inv_SY!$Y34-1,"")</f>
        <v>-1</v>
      </c>
      <c r="M32" s="55">
        <f>IFERROR(Inv_SY!M34/Inv_SY!$Y34-1,"")</f>
        <v>0.33364779731270211</v>
      </c>
      <c r="N32" s="55">
        <f>IFERROR(Inv_SY!N34/Inv_SY!$Y34-1,"")</f>
        <v>0.32987623950665412</v>
      </c>
      <c r="O32" s="55">
        <f>IFERROR(Inv_SY!O34/Inv_SY!$Y34-1,"")</f>
        <v>0.30237598910552776</v>
      </c>
      <c r="P32" s="55">
        <f>IFERROR(Inv_SY!P34/Inv_SY!$Y34-1,"")</f>
        <v>0.30375100162558399</v>
      </c>
      <c r="Q32" s="55">
        <f>IFERROR(Inv_SY!Q34/Inv_SY!$Y34-1,"")</f>
        <v>-1</v>
      </c>
      <c r="R32" s="55">
        <f>IFERROR(Inv_SY!R34/Inv_SY!$Y34-1,"")</f>
        <v>1.4441773958306259E-2</v>
      </c>
      <c r="S32" s="55">
        <f>IFERROR(Inv_SY!S34/Inv_SY!$Y34-1,"")</f>
        <v>5.0526520697416144E-2</v>
      </c>
      <c r="T32" s="55">
        <f>IFERROR(Inv_SY!T34/Inv_SY!$Y34-1,"")</f>
        <v>6.4228213570571846E-4</v>
      </c>
      <c r="U32" s="55">
        <f>IFERROR(Inv_SY!U34/Inv_SY!$Y34-1,"")</f>
        <v>-7.9003158451953492E-3</v>
      </c>
      <c r="V32" s="55">
        <f>IFERROR(Inv_SY!J34/Inv_SY!$Z34-1,"")</f>
        <v>0.31935262536100661</v>
      </c>
      <c r="W32" s="55">
        <f>IFERROR(Inv_SY!K34/Inv_SY!$Z34-1,"")</f>
        <v>0.31885922497755081</v>
      </c>
      <c r="X32" s="55">
        <f>IFERROR(Inv_SY!L34/Inv_SY!$Z34-1,"")</f>
        <v>-1</v>
      </c>
      <c r="Y32" s="55">
        <f>IFERROR(Inv_SY!M34/Inv_SY!$Z34-1,"")</f>
        <v>0.31614805667069912</v>
      </c>
      <c r="Z32" s="55">
        <f>IFERROR(Inv_SY!N34/Inv_SY!$Z34-1,"")</f>
        <v>0.31242598815526823</v>
      </c>
      <c r="AA32" s="55">
        <f>IFERROR(Inv_SY!O34/Inv_SY!$Z34-1,"")</f>
        <v>0.28528658808552576</v>
      </c>
      <c r="AB32" s="55">
        <f>IFERROR(Inv_SY!P34/Inv_SY!$Z34-1,"")</f>
        <v>0.28664355808901298</v>
      </c>
      <c r="AC32" s="55">
        <f>IFERROR(Inv_SY!Q34/Inv_SY!$Z34-1,"")</f>
        <v>-1</v>
      </c>
      <c r="AD32" s="55">
        <f>IFERROR(Inv_SY!R34/Inv_SY!$Z34-1,"")</f>
        <v>1.1305624252051505E-3</v>
      </c>
      <c r="AE32" s="55">
        <f>IFERROR(Inv_SY!S34/Inv_SY!$Z34-1,"")</f>
        <v>3.6741815555028312E-2</v>
      </c>
      <c r="AF32" s="55">
        <f>IFERROR(Inv_SY!T34/Inv_SY!$Z34-1,"")</f>
        <v>-1.2487856457168323E-2</v>
      </c>
      <c r="AG32" s="55">
        <f>IFERROR(Inv_SY!U34/Inv_SY!$Z34-1,"")</f>
        <v>-2.091836093828936E-2</v>
      </c>
      <c r="AH32" s="55">
        <f>IFERROR(Inv_SY!V34/Inv_SY!$Y34-1,"")</f>
        <v>1.0572765800147543E-3</v>
      </c>
      <c r="AI32" s="55">
        <f>IFERROR(Inv_SY!W34/Inv_SY!$Y34-1,"")</f>
        <v>-1.4353455952318739E-2</v>
      </c>
      <c r="AJ32" s="55">
        <f>IFERROR(Inv_SY!X34/Inv_SY!$Y34-1,"")</f>
        <v>1.3296179372304096E-2</v>
      </c>
      <c r="AK32" s="55">
        <f>IFERROR(Inv_SY!V34/Inv_SY!$Z34-1,"")</f>
        <v>-1.2078307449921222E-2</v>
      </c>
      <c r="AL32" s="55">
        <f>IFERROR(Inv_SY!W34/Inv_SY!$Z34-1,"")</f>
        <v>-2.7286824807481902E-2</v>
      </c>
      <c r="AM32" s="55">
        <f>IFERROR(Inv_SY!X34/Inv_SY!$Z34-1,"")</f>
        <v>0</v>
      </c>
    </row>
    <row r="33" spans="1:39" x14ac:dyDescent="0.3">
      <c r="A33" s="53">
        <f>YEAR(Table5[[#This Row],[Date]])+IF(MONTH(Table5[[#This Row],[Date]])&gt;=4,1,0)</f>
        <v>2026</v>
      </c>
      <c r="B33" s="53">
        <v>4</v>
      </c>
      <c r="C33" s="92">
        <f>YEAR(Table5[[#This Row],[Date]])</f>
        <v>2025</v>
      </c>
      <c r="D33" s="53" t="s">
        <v>317</v>
      </c>
      <c r="E33" s="53" t="s">
        <v>317</v>
      </c>
      <c r="F33" s="94" t="str">
        <f>TEXT(Table5[[#This Row],[Date]],"mmm-yy")</f>
        <v>Apr-25</v>
      </c>
      <c r="G33" s="92">
        <f t="shared" si="3"/>
        <v>30</v>
      </c>
      <c r="H33" s="93">
        <f t="shared" si="2"/>
        <v>45776</v>
      </c>
      <c r="I33" s="53">
        <v>8.02</v>
      </c>
      <c r="J33" s="55">
        <f>IFERROR(Inv_SY!J35/Inv_SY!$Y35-1,"")</f>
        <v>0.3712072082309692</v>
      </c>
      <c r="K33" s="55">
        <f>IFERROR(Inv_SY!K35/Inv_SY!$Y35-1,"")</f>
        <v>0.34722504550045308</v>
      </c>
      <c r="L33" s="55">
        <f>IFERROR(Inv_SY!L35/Inv_SY!$Y35-1,"")</f>
        <v>-1</v>
      </c>
      <c r="M33" s="55">
        <f>IFERROR(Inv_SY!M35/Inv_SY!$Y35-1,"")</f>
        <v>0.32614971083962785</v>
      </c>
      <c r="N33" s="55">
        <f>IFERROR(Inv_SY!N35/Inv_SY!$Y35-1,"")</f>
        <v>0.28901764058459189</v>
      </c>
      <c r="O33" s="55">
        <f>IFERROR(Inv_SY!O35/Inv_SY!$Y35-1,"")</f>
        <v>0.28153119075901123</v>
      </c>
      <c r="P33" s="55">
        <f>IFERROR(Inv_SY!P35/Inv_SY!$Y35-1,"")</f>
        <v>0.30636775416141204</v>
      </c>
      <c r="Q33" s="55">
        <f>IFERROR(Inv_SY!Q35/Inv_SY!$Y35-1,"")</f>
        <v>-1</v>
      </c>
      <c r="R33" s="55">
        <f>IFERROR(Inv_SY!R35/Inv_SY!$Y35-1,"")</f>
        <v>1.9461637767008044E-2</v>
      </c>
      <c r="S33" s="55">
        <f>IFERROR(Inv_SY!S35/Inv_SY!$Y35-1,"")</f>
        <v>3.4777876357948045E-2</v>
      </c>
      <c r="T33" s="55">
        <f>IFERROR(Inv_SY!T35/Inv_SY!$Y35-1,"")</f>
        <v>2.7535002815545662E-2</v>
      </c>
      <c r="U33" s="55">
        <f>IFERROR(Inv_SY!U35/Inv_SY!$Y35-1,"")</f>
        <v>-2.747272473157647E-3</v>
      </c>
      <c r="V33" s="55">
        <f>IFERROR(Inv_SY!J35/Inv_SY!$Z35-1,"")</f>
        <v>0.34594630859092024</v>
      </c>
      <c r="W33" s="55">
        <f>IFERROR(Inv_SY!K35/Inv_SY!$Z35-1,"")</f>
        <v>0.32240595436480124</v>
      </c>
      <c r="X33" s="55">
        <f>IFERROR(Inv_SY!L35/Inv_SY!$Z35-1,"")</f>
        <v>-1</v>
      </c>
      <c r="Y33" s="55">
        <f>IFERROR(Inv_SY!M35/Inv_SY!$Z35-1,"")</f>
        <v>0.30171887751836879</v>
      </c>
      <c r="Z33" s="55">
        <f>IFERROR(Inv_SY!N35/Inv_SY!$Z35-1,"")</f>
        <v>0.2652708683552738</v>
      </c>
      <c r="AA33" s="55">
        <f>IFERROR(Inv_SY!O35/Inv_SY!$Z35-1,"")</f>
        <v>0.2579223367499075</v>
      </c>
      <c r="AB33" s="55">
        <f>IFERROR(Inv_SY!P35/Inv_SY!$Z35-1,"")</f>
        <v>0.2823013515544408</v>
      </c>
      <c r="AC33" s="55">
        <f>IFERROR(Inv_SY!Q35/Inv_SY!$Z35-1,"")</f>
        <v>-1</v>
      </c>
      <c r="AD33" s="55">
        <f>IFERROR(Inv_SY!R35/Inv_SY!$Z35-1,"")</f>
        <v>6.8072853321221594E-4</v>
      </c>
      <c r="AE33" s="55">
        <f>IFERROR(Inv_SY!S35/Inv_SY!$Z35-1,"")</f>
        <v>1.5714805563458611E-2</v>
      </c>
      <c r="AF33" s="55">
        <f>IFERROR(Inv_SY!T35/Inv_SY!$Z35-1,"")</f>
        <v>8.6053629865310288E-3</v>
      </c>
      <c r="AG33" s="55">
        <f>IFERROR(Inv_SY!U35/Inv_SY!$Z35-1,"")</f>
        <v>-2.111904073298243E-2</v>
      </c>
      <c r="AH33" s="55">
        <f>IFERROR(Inv_SY!V35/Inv_SY!$Y35-1,"")</f>
        <v>1.0381689435850605E-2</v>
      </c>
      <c r="AI33" s="55">
        <f>IFERROR(Inv_SY!W35/Inv_SY!$Y35-1,"")</f>
        <v>-2.9149822665841874E-2</v>
      </c>
      <c r="AJ33" s="55">
        <f>IFERROR(Inv_SY!X35/Inv_SY!$Y35-1,"")</f>
        <v>1.8768133229990935E-2</v>
      </c>
      <c r="AK33" s="55">
        <f>IFERROR(Inv_SY!V35/Inv_SY!$Z35-1,"")</f>
        <v>-8.2319455434389788E-3</v>
      </c>
      <c r="AL33" s="55">
        <f>IFERROR(Inv_SY!W35/Inv_SY!$Z35-1,"")</f>
        <v>-4.7035193124768782E-2</v>
      </c>
      <c r="AM33" s="55">
        <f>IFERROR(Inv_SY!X35/Inv_SY!$Z35-1,"")</f>
        <v>0</v>
      </c>
    </row>
    <row r="34" spans="1:39" x14ac:dyDescent="0.3">
      <c r="A34" s="53">
        <f>YEAR(Table5[[#This Row],[Date]])+IF(MONTH(Table5[[#This Row],[Date]])&gt;=4,1,0)</f>
        <v>2026</v>
      </c>
      <c r="B34" s="53">
        <v>4</v>
      </c>
      <c r="C34" s="92">
        <f>YEAR(Table5[[#This Row],[Date]])</f>
        <v>2025</v>
      </c>
      <c r="D34" s="53" t="s">
        <v>317</v>
      </c>
      <c r="E34" s="53" t="s">
        <v>317</v>
      </c>
      <c r="F34" s="94" t="str">
        <f>TEXT(Table5[[#This Row],[Date]],"mmm-yy")</f>
        <v>Apr-25</v>
      </c>
      <c r="G34" s="92">
        <f t="shared" si="3"/>
        <v>30</v>
      </c>
      <c r="H34" s="93">
        <f t="shared" si="2"/>
        <v>45777</v>
      </c>
      <c r="I34" s="53">
        <v>8.02</v>
      </c>
      <c r="J34" s="55">
        <f>IFERROR(Inv_SY!J36/Inv_SY!$Y36-1,"")</f>
        <v>0.33995561547729491</v>
      </c>
      <c r="K34" s="55">
        <f>IFERROR(Inv_SY!K36/Inv_SY!$Y36-1,"")</f>
        <v>0.36114033019183167</v>
      </c>
      <c r="L34" s="55">
        <f>IFERROR(Inv_SY!L36/Inv_SY!$Y36-1,"")</f>
        <v>-1</v>
      </c>
      <c r="M34" s="55">
        <f>IFERROR(Inv_SY!M36/Inv_SY!$Y36-1,"")</f>
        <v>0.31783372127284593</v>
      </c>
      <c r="N34" s="55">
        <f>IFERROR(Inv_SY!N36/Inv_SY!$Y36-1,"")</f>
        <v>0.33562207779828501</v>
      </c>
      <c r="O34" s="55">
        <f>IFERROR(Inv_SY!O36/Inv_SY!$Y36-1,"")</f>
        <v>0.30309629855541997</v>
      </c>
      <c r="P34" s="55">
        <f>IFERROR(Inv_SY!P36/Inv_SY!$Y36-1,"")</f>
        <v>0.30570807914821763</v>
      </c>
      <c r="Q34" s="55">
        <f>IFERROR(Inv_SY!Q36/Inv_SY!$Y36-1,"")</f>
        <v>-1</v>
      </c>
      <c r="R34" s="55">
        <f>IFERROR(Inv_SY!R36/Inv_SY!$Y36-1,"")</f>
        <v>9.1886618537182496E-3</v>
      </c>
      <c r="S34" s="55">
        <f>IFERROR(Inv_SY!S36/Inv_SY!$Y36-1,"")</f>
        <v>2.705657253779381E-2</v>
      </c>
      <c r="T34" s="55">
        <f>IFERROR(Inv_SY!T36/Inv_SY!$Y36-1,"")</f>
        <v>-5.6291770597045598E-3</v>
      </c>
      <c r="U34" s="55">
        <f>IFERROR(Inv_SY!U36/Inv_SY!$Y36-1,"")</f>
        <v>6.4628522979042202E-3</v>
      </c>
      <c r="V34" s="55">
        <f>IFERROR(Inv_SY!J36/Inv_SY!$Z36-1,"")</f>
        <v>0.32896469508060111</v>
      </c>
      <c r="W34" s="55">
        <f>IFERROR(Inv_SY!K36/Inv_SY!$Z36-1,"")</f>
        <v>0.34997564320886809</v>
      </c>
      <c r="X34" s="55">
        <f>IFERROR(Inv_SY!L36/Inv_SY!$Z36-1,"")</f>
        <v>-1</v>
      </c>
      <c r="Y34" s="55">
        <f>IFERROR(Inv_SY!M36/Inv_SY!$Z36-1,"")</f>
        <v>0.30702425463134864</v>
      </c>
      <c r="Z34" s="55">
        <f>IFERROR(Inv_SY!N36/Inv_SY!$Z36-1,"")</f>
        <v>0.32466670303244327</v>
      </c>
      <c r="AA34" s="55">
        <f>IFERROR(Inv_SY!O36/Inv_SY!$Z36-1,"")</f>
        <v>0.29240771490293271</v>
      </c>
      <c r="AB34" s="55">
        <f>IFERROR(Inv_SY!P36/Inv_SY!$Z36-1,"")</f>
        <v>0.29499807249316401</v>
      </c>
      <c r="AC34" s="55">
        <f>IFERROR(Inv_SY!Q36/Inv_SY!$Z36-1,"")</f>
        <v>-1</v>
      </c>
      <c r="AD34" s="55">
        <f>IFERROR(Inv_SY!R36/Inv_SY!$Z36-1,"")</f>
        <v>9.1084121580897737E-4</v>
      </c>
      <c r="AE34" s="55">
        <f>IFERROR(Inv_SY!S36/Inv_SY!$Z36-1,"")</f>
        <v>1.8632191236445106E-2</v>
      </c>
      <c r="AF34" s="55">
        <f>IFERROR(Inv_SY!T36/Inv_SY!$Z36-1,"")</f>
        <v>-1.3785455098689448E-2</v>
      </c>
      <c r="AG34" s="55">
        <f>IFERROR(Inv_SY!U36/Inv_SY!$Z36-1,"")</f>
        <v>-1.7926100204469497E-3</v>
      </c>
      <c r="AH34" s="55">
        <f>IFERROR(Inv_SY!V36/Inv_SY!$Y36-1,"")</f>
        <v>3.9738399666338076E-3</v>
      </c>
      <c r="AI34" s="55">
        <f>IFERROR(Inv_SY!W36/Inv_SY!$Y36-1,"")</f>
        <v>-1.2244127685621664E-2</v>
      </c>
      <c r="AJ34" s="55">
        <f>IFERROR(Inv_SY!X36/Inv_SY!$Y36-1,"")</f>
        <v>8.2702877189881896E-3</v>
      </c>
      <c r="AK34" s="55">
        <f>IFERROR(Inv_SY!V36/Inv_SY!$Z36-1,"")</f>
        <v>-4.2612063498114194E-3</v>
      </c>
      <c r="AL34" s="55">
        <f>IFERROR(Inv_SY!W36/Inv_SY!$Z36-1,"")</f>
        <v>-2.0346146915644625E-2</v>
      </c>
      <c r="AM34" s="55">
        <f>IFERROR(Inv_SY!X36/Inv_SY!$Z36-1,"")</f>
        <v>0</v>
      </c>
    </row>
    <row r="35" spans="1:39" x14ac:dyDescent="0.3">
      <c r="A35" s="53">
        <f>YEAR(Table5[[#This Row],[Date]])+IF(MONTH(Table5[[#This Row],[Date]])&gt;=4,1,0)</f>
        <v>2026</v>
      </c>
      <c r="B35" s="53">
        <v>4</v>
      </c>
      <c r="C35" s="92">
        <f>YEAR(Table5[[#This Row],[Date]])</f>
        <v>2025</v>
      </c>
      <c r="D35" s="53" t="s">
        <v>317</v>
      </c>
      <c r="E35" s="53" t="s">
        <v>317</v>
      </c>
      <c r="F35" s="94" t="str">
        <f>TEXT(Table5[[#This Row],[Date]],"mmm-yy")</f>
        <v>May-25</v>
      </c>
      <c r="G35" s="92">
        <f t="shared" si="3"/>
        <v>31</v>
      </c>
      <c r="H35" s="93">
        <f t="shared" si="2"/>
        <v>45778</v>
      </c>
      <c r="I35" s="53">
        <v>8.02</v>
      </c>
      <c r="J35" s="55">
        <f>IFERROR(Inv_SY!J37/Inv_SY!$Y37-1,"")</f>
        <v>0.33783801279714409</v>
      </c>
      <c r="K35" s="55">
        <f>IFERROR(Inv_SY!K37/Inv_SY!$Y37-1,"")</f>
        <v>0.33717251634393341</v>
      </c>
      <c r="L35" s="55">
        <f>IFERROR(Inv_SY!L37/Inv_SY!$Y37-1,"")</f>
        <v>-1</v>
      </c>
      <c r="M35" s="55">
        <f>IFERROR(Inv_SY!M37/Inv_SY!$Y37-1,"")</f>
        <v>0.33830884021982377</v>
      </c>
      <c r="N35" s="55">
        <f>IFERROR(Inv_SY!N37/Inv_SY!$Y37-1,"")</f>
        <v>0.31242134731948834</v>
      </c>
      <c r="O35" s="55">
        <f>IFERROR(Inv_SY!O37/Inv_SY!$Y37-1,"")</f>
        <v>0.32997569950839356</v>
      </c>
      <c r="P35" s="55">
        <f>IFERROR(Inv_SY!P37/Inv_SY!$Y37-1,"")</f>
        <v>0.30726777603467226</v>
      </c>
      <c r="Q35" s="55">
        <f>IFERROR(Inv_SY!Q37/Inv_SY!$Y37-1,"")</f>
        <v>-1</v>
      </c>
      <c r="R35" s="55">
        <f>IFERROR(Inv_SY!R37/Inv_SY!$Y37-1,"")</f>
        <v>2.9403079059975523E-2</v>
      </c>
      <c r="S35" s="55">
        <f>IFERROR(Inv_SY!S37/Inv_SY!$Y37-1,"")</f>
        <v>2.5920306483566913E-2</v>
      </c>
      <c r="T35" s="55">
        <f>IFERROR(Inv_SY!T37/Inv_SY!$Y37-1,"")</f>
        <v>-5.0357451118503427E-3</v>
      </c>
      <c r="U35" s="55">
        <f>IFERROR(Inv_SY!U37/Inv_SY!$Y37-1,"")</f>
        <v>-1.2992713216864571E-2</v>
      </c>
      <c r="V35" s="55">
        <f>IFERROR(Inv_SY!J37/Inv_SY!$Z37-1,"")</f>
        <v>0.32686407325374822</v>
      </c>
      <c r="W35" s="55">
        <f>IFERROR(Inv_SY!K37/Inv_SY!$Z37-1,"")</f>
        <v>0.32620403569598966</v>
      </c>
      <c r="X35" s="55">
        <f>IFERROR(Inv_SY!L37/Inv_SY!$Z37-1,"")</f>
        <v>-1</v>
      </c>
      <c r="Y35" s="55">
        <f>IFERROR(Inv_SY!M37/Inv_SY!$Z37-1,"")</f>
        <v>0.32733103860073354</v>
      </c>
      <c r="Z35" s="55">
        <f>IFERROR(Inv_SY!N37/Inv_SY!$Z37-1,"")</f>
        <v>0.30165589411575278</v>
      </c>
      <c r="AA35" s="55">
        <f>IFERROR(Inv_SY!O37/Inv_SY!$Z37-1,"")</f>
        <v>0.31906625248941123</v>
      </c>
      <c r="AB35" s="55">
        <f>IFERROR(Inv_SY!P37/Inv_SY!$Z37-1,"")</f>
        <v>0.29654459624458696</v>
      </c>
      <c r="AC35" s="55">
        <f>IFERROR(Inv_SY!Q37/Inv_SY!$Z37-1,"")</f>
        <v>-1</v>
      </c>
      <c r="AD35" s="55">
        <f>IFERROR(Inv_SY!R37/Inv_SY!$Z37-1,"")</f>
        <v>2.0959151583456181E-2</v>
      </c>
      <c r="AE35" s="55">
        <f>IFERROR(Inv_SY!S37/Inv_SY!$Z37-1,"")</f>
        <v>1.7504947290600148E-2</v>
      </c>
      <c r="AF35" s="55">
        <f>IFERROR(Inv_SY!T37/Inv_SY!$Z37-1,"")</f>
        <v>-1.3197179812120097E-2</v>
      </c>
      <c r="AG35" s="55">
        <f>IFERROR(Inv_SY!U37/Inv_SY!$Z37-1,"")</f>
        <v>-2.1088878963720026E-2</v>
      </c>
      <c r="AH35" s="55">
        <f>IFERROR(Inv_SY!V37/Inv_SY!$Y37-1,"")</f>
        <v>2.6617624873574997E-3</v>
      </c>
      <c r="AI35" s="55">
        <f>IFERROR(Inv_SY!W37/Inv_SY!$Y37-1,"")</f>
        <v>-1.0932345559582446E-2</v>
      </c>
      <c r="AJ35" s="55">
        <f>IFERROR(Inv_SY!X37/Inv_SY!$Y37-1,"")</f>
        <v>8.2705830722249463E-3</v>
      </c>
      <c r="AK35" s="55">
        <f>IFERROR(Inv_SY!V37/Inv_SY!$Z37-1,"")</f>
        <v>-5.5628128788378639E-3</v>
      </c>
      <c r="AL35" s="55">
        <f>IFERROR(Inv_SY!W37/Inv_SY!$Z37-1,"")</f>
        <v>-1.904541196996512E-2</v>
      </c>
      <c r="AM35" s="55">
        <f>IFERROR(Inv_SY!X37/Inv_SY!$Z37-1,"")</f>
        <v>0</v>
      </c>
    </row>
    <row r="36" spans="1:39" x14ac:dyDescent="0.3">
      <c r="A36" s="53">
        <f>YEAR(Table5[[#This Row],[Date]])+IF(MONTH(Table5[[#This Row],[Date]])&gt;=4,1,0)</f>
        <v>2026</v>
      </c>
      <c r="B36" s="53">
        <v>4</v>
      </c>
      <c r="C36" s="92">
        <f>YEAR(Table5[[#This Row],[Date]])</f>
        <v>2025</v>
      </c>
      <c r="D36" s="53" t="s">
        <v>317</v>
      </c>
      <c r="E36" s="53" t="s">
        <v>317</v>
      </c>
      <c r="F36" s="94" t="str">
        <f>TEXT(Table5[[#This Row],[Date]],"mmm-yy")</f>
        <v>May-25</v>
      </c>
      <c r="G36" s="92">
        <f t="shared" si="3"/>
        <v>31</v>
      </c>
      <c r="H36" s="93">
        <f t="shared" si="2"/>
        <v>45779</v>
      </c>
      <c r="I36" s="53">
        <v>8.02</v>
      </c>
      <c r="J36" s="55">
        <f>IFERROR(Inv_SY!J38/Inv_SY!$Y38-1,"")</f>
        <v>0.35629834985239772</v>
      </c>
      <c r="K36" s="55">
        <f>IFERROR(Inv_SY!K38/Inv_SY!$Y38-1,"")</f>
        <v>0.34116510067537975</v>
      </c>
      <c r="L36" s="55">
        <f>IFERROR(Inv_SY!L38/Inv_SY!$Y38-1,"")</f>
        <v>-1</v>
      </c>
      <c r="M36" s="55">
        <f>IFERROR(Inv_SY!M38/Inv_SY!$Y38-1,"")</f>
        <v>0.31995198311206829</v>
      </c>
      <c r="N36" s="55">
        <f>IFERROR(Inv_SY!N38/Inv_SY!$Y38-1,"")</f>
        <v>0.33219453456486003</v>
      </c>
      <c r="O36" s="55">
        <f>IFERROR(Inv_SY!O38/Inv_SY!$Y38-1,"")</f>
        <v>0.30962747454438677</v>
      </c>
      <c r="P36" s="55">
        <f>IFERROR(Inv_SY!P38/Inv_SY!$Y38-1,"")</f>
        <v>0.31137535354769352</v>
      </c>
      <c r="Q36" s="55">
        <f>IFERROR(Inv_SY!Q38/Inv_SY!$Y38-1,"")</f>
        <v>-1</v>
      </c>
      <c r="R36" s="55">
        <f>IFERROR(Inv_SY!R38/Inv_SY!$Y38-1,"")</f>
        <v>8.5723953568774824E-3</v>
      </c>
      <c r="S36" s="55">
        <f>IFERROR(Inv_SY!S38/Inv_SY!$Y38-1,"")</f>
        <v>2.6158164118880167E-2</v>
      </c>
      <c r="T36" s="55">
        <f>IFERROR(Inv_SY!T38/Inv_SY!$Y38-1,"")</f>
        <v>8.9354729682997736E-3</v>
      </c>
      <c r="U36" s="55">
        <f>IFERROR(Inv_SY!U38/Inv_SY!$Y38-1,"")</f>
        <v>-1.3867454589929218E-2</v>
      </c>
      <c r="V36" s="55">
        <f>IFERROR(Inv_SY!J38/Inv_SY!$Z38-1,"")</f>
        <v>0.34761742157197117</v>
      </c>
      <c r="W36" s="55">
        <f>IFERROR(Inv_SY!K38/Inv_SY!$Z38-1,"")</f>
        <v>0.33258103209456857</v>
      </c>
      <c r="X36" s="55">
        <f>IFERROR(Inv_SY!L38/Inv_SY!$Z38-1,"")</f>
        <v>-1</v>
      </c>
      <c r="Y36" s="55">
        <f>IFERROR(Inv_SY!M38/Inv_SY!$Z38-1,"")</f>
        <v>0.31150368816262008</v>
      </c>
      <c r="Z36" s="55">
        <f>IFERROR(Inv_SY!N38/Inv_SY!$Z38-1,"")</f>
        <v>0.32366788170017702</v>
      </c>
      <c r="AA36" s="55">
        <f>IFERROR(Inv_SY!O38/Inv_SY!$Z38-1,"")</f>
        <v>0.30124526116055916</v>
      </c>
      <c r="AB36" s="55">
        <f>IFERROR(Inv_SY!P38/Inv_SY!$Z38-1,"")</f>
        <v>0.30298195294073604</v>
      </c>
      <c r="AC36" s="55">
        <f>IFERROR(Inv_SY!Q38/Inv_SY!$Z38-1,"")</f>
        <v>-1</v>
      </c>
      <c r="AD36" s="55">
        <f>IFERROR(Inv_SY!R38/Inv_SY!$Z38-1,"")</f>
        <v>2.1170718429441848E-3</v>
      </c>
      <c r="AE36" s="55">
        <f>IFERROR(Inv_SY!S38/Inv_SY!$Z38-1,"")</f>
        <v>1.9590283660970709E-2</v>
      </c>
      <c r="AF36" s="55">
        <f>IFERROR(Inv_SY!T38/Inv_SY!$Z38-1,"")</f>
        <v>2.4778255919910563E-3</v>
      </c>
      <c r="AG36" s="55">
        <f>IFERROR(Inv_SY!U38/Inv_SY!$Z38-1,"")</f>
        <v>-2.0179152825520963E-2</v>
      </c>
      <c r="AH36" s="55">
        <f>IFERROR(Inv_SY!V38/Inv_SY!$Y38-1,"")</f>
        <v>3.6060475702706096E-3</v>
      </c>
      <c r="AI36" s="55">
        <f>IFERROR(Inv_SY!W38/Inv_SY!$Y38-1,"")</f>
        <v>-1.0047733572148276E-2</v>
      </c>
      <c r="AJ36" s="55">
        <f>IFERROR(Inv_SY!X38/Inv_SY!$Y38-1,"")</f>
        <v>6.4416860018776667E-3</v>
      </c>
      <c r="AK36" s="55">
        <f>IFERROR(Inv_SY!V38/Inv_SY!$Z38-1,"")</f>
        <v>-2.8174890518215534E-3</v>
      </c>
      <c r="AL36" s="55">
        <f>IFERROR(Inv_SY!W38/Inv_SY!$Z38-1,"")</f>
        <v>-1.6383879765086706E-2</v>
      </c>
      <c r="AM36" s="55">
        <f>IFERROR(Inv_SY!X38/Inv_SY!$Z38-1,"")</f>
        <v>0</v>
      </c>
    </row>
    <row r="37" spans="1:39" x14ac:dyDescent="0.3">
      <c r="A37" s="53">
        <f>YEAR(Table5[[#This Row],[Date]])+IF(MONTH(Table5[[#This Row],[Date]])&gt;=4,1,0)</f>
        <v>2026</v>
      </c>
      <c r="B37" s="53">
        <v>4</v>
      </c>
      <c r="C37" s="92">
        <f>YEAR(Table5[[#This Row],[Date]])</f>
        <v>2025</v>
      </c>
      <c r="D37" s="53" t="s">
        <v>317</v>
      </c>
      <c r="E37" s="53" t="s">
        <v>317</v>
      </c>
      <c r="F37" s="94" t="str">
        <f>TEXT(Table5[[#This Row],[Date]],"mmm-yy")</f>
        <v>May-25</v>
      </c>
      <c r="G37" s="92">
        <f t="shared" si="3"/>
        <v>31</v>
      </c>
      <c r="H37" s="93">
        <f t="shared" si="2"/>
        <v>45780</v>
      </c>
      <c r="I37" s="53">
        <v>8.02</v>
      </c>
      <c r="J37" s="55">
        <f>IFERROR(Inv_SY!J39/Inv_SY!$Y39-1,"")</f>
        <v>0.33618706835289469</v>
      </c>
      <c r="K37" s="55">
        <f>IFERROR(Inv_SY!K39/Inv_SY!$Y39-1,"")</f>
        <v>0.35842845736593221</v>
      </c>
      <c r="L37" s="55">
        <f>IFERROR(Inv_SY!L39/Inv_SY!$Y39-1,"")</f>
        <v>-1</v>
      </c>
      <c r="M37" s="55">
        <f>IFERROR(Inv_SY!M39/Inv_SY!$Y39-1,"")</f>
        <v>0.31430707609726483</v>
      </c>
      <c r="N37" s="55">
        <f>IFERROR(Inv_SY!N39/Inv_SY!$Y39-1,"")</f>
        <v>0.33825642449308679</v>
      </c>
      <c r="O37" s="55">
        <f>IFERROR(Inv_SY!O39/Inv_SY!$Y39-1,"")</f>
        <v>0.3055123548195704</v>
      </c>
      <c r="P37" s="55">
        <f>IFERROR(Inv_SY!P39/Inv_SY!$Y39-1,"")</f>
        <v>0.30781073663319236</v>
      </c>
      <c r="Q37" s="55">
        <f>IFERROR(Inv_SY!Q39/Inv_SY!$Y39-1,"")</f>
        <v>-1</v>
      </c>
      <c r="R37" s="55">
        <f>IFERROR(Inv_SY!R39/Inv_SY!$Y39-1,"")</f>
        <v>9.3159027758153989E-3</v>
      </c>
      <c r="S37" s="55">
        <f>IFERROR(Inv_SY!S39/Inv_SY!$Y39-1,"")</f>
        <v>2.7037366248535921E-2</v>
      </c>
      <c r="T37" s="55">
        <f>IFERROR(Inv_SY!T39/Inv_SY!$Y39-1,"")</f>
        <v>-4.7423555362469116E-3</v>
      </c>
      <c r="U37" s="55">
        <f>IFERROR(Inv_SY!U39/Inv_SY!$Y39-1,"")</f>
        <v>8.2817025141981304E-3</v>
      </c>
      <c r="V37" s="55">
        <f>IFERROR(Inv_SY!J39/Inv_SY!$Z39-1,"")</f>
        <v>0.32429504164288492</v>
      </c>
      <c r="W37" s="55">
        <f>IFERROR(Inv_SY!K39/Inv_SY!$Z39-1,"")</f>
        <v>0.34633848292953351</v>
      </c>
      <c r="X37" s="55">
        <f>IFERROR(Inv_SY!L39/Inv_SY!$Z39-1,"")</f>
        <v>-1</v>
      </c>
      <c r="Y37" s="55">
        <f>IFERROR(Inv_SY!M39/Inv_SY!$Z39-1,"")</f>
        <v>0.30260978069283451</v>
      </c>
      <c r="Z37" s="55">
        <f>IFERROR(Inv_SY!N39/Inv_SY!$Z39-1,"")</f>
        <v>0.32634598057258701</v>
      </c>
      <c r="AA37" s="55">
        <f>IFERROR(Inv_SY!O39/Inv_SY!$Z39-1,"")</f>
        <v>0.29389333218309188</v>
      </c>
      <c r="AB37" s="55">
        <f>IFERROR(Inv_SY!P39/Inv_SY!$Z39-1,"")</f>
        <v>0.29617125846427772</v>
      </c>
      <c r="AC37" s="55">
        <f>IFERROR(Inv_SY!Q39/Inv_SY!$Z39-1,"")</f>
        <v>-1</v>
      </c>
      <c r="AD37" s="55">
        <f>IFERROR(Inv_SY!R39/Inv_SY!$Z39-1,"")</f>
        <v>3.330200949918094E-4</v>
      </c>
      <c r="AE37" s="55">
        <f>IFERROR(Inv_SY!S39/Inv_SY!$Z39-1,"")</f>
        <v>1.7896763049418452E-2</v>
      </c>
      <c r="AF37" s="55">
        <f>IFERROR(Inv_SY!T39/Inv_SY!$Z39-1,"")</f>
        <v>-1.360012011998446E-2</v>
      </c>
      <c r="AG37" s="55">
        <f>IFERROR(Inv_SY!U39/Inv_SY!$Z39-1,"")</f>
        <v>-6.9197581386237772E-4</v>
      </c>
      <c r="AH37" s="55">
        <f>IFERROR(Inv_SY!V39/Inv_SY!$Y39-1,"")</f>
        <v>1.4729795138073154E-3</v>
      </c>
      <c r="AI37" s="55">
        <f>IFERROR(Inv_SY!W39/Inv_SY!$Y39-1,"")</f>
        <v>-1.0452871710078693E-2</v>
      </c>
      <c r="AJ37" s="55">
        <f>IFERROR(Inv_SY!X39/Inv_SY!$Y39-1,"")</f>
        <v>8.9798921962713774E-3</v>
      </c>
      <c r="AK37" s="55">
        <f>IFERROR(Inv_SY!V39/Inv_SY!$Z39-1,"")</f>
        <v>-7.4401013741943745E-3</v>
      </c>
      <c r="AL37" s="55">
        <f>IFERROR(Inv_SY!W39/Inv_SY!$Z39-1,"")</f>
        <v>-1.9259812863118841E-2</v>
      </c>
      <c r="AM37" s="55">
        <f>IFERROR(Inv_SY!X39/Inv_SY!$Z39-1,"")</f>
        <v>0</v>
      </c>
    </row>
    <row r="38" spans="1:39" x14ac:dyDescent="0.3">
      <c r="A38" s="53">
        <f>YEAR(Table5[[#This Row],[Date]])+IF(MONTH(Table5[[#This Row],[Date]])&gt;=4,1,0)</f>
        <v>2026</v>
      </c>
      <c r="B38" s="53">
        <v>4</v>
      </c>
      <c r="C38" s="92">
        <f>YEAR(Table5[[#This Row],[Date]])</f>
        <v>2025</v>
      </c>
      <c r="D38" s="53" t="s">
        <v>317</v>
      </c>
      <c r="E38" s="53" t="s">
        <v>317</v>
      </c>
      <c r="F38" s="94" t="str">
        <f>TEXT(Table5[[#This Row],[Date]],"mmm-yy")</f>
        <v>May-25</v>
      </c>
      <c r="G38" s="92">
        <f t="shared" si="3"/>
        <v>31</v>
      </c>
      <c r="H38" s="93">
        <f t="shared" si="2"/>
        <v>45781</v>
      </c>
      <c r="I38" s="53">
        <v>8.02</v>
      </c>
      <c r="J38" s="55">
        <f>IFERROR(Inv_SY!J40/Inv_SY!$Y40-1,"")</f>
        <v>0.32548010417081841</v>
      </c>
      <c r="K38" s="55">
        <f>IFERROR(Inv_SY!K40/Inv_SY!$Y40-1,"")</f>
        <v>0.32542244451777425</v>
      </c>
      <c r="L38" s="55">
        <f>IFERROR(Inv_SY!L40/Inv_SY!$Y40-1,"")</f>
        <v>-1</v>
      </c>
      <c r="M38" s="55">
        <f>IFERROR(Inv_SY!M40/Inv_SY!$Y40-1,"")</f>
        <v>0.36334144587106931</v>
      </c>
      <c r="N38" s="55">
        <f>IFERROR(Inv_SY!N40/Inv_SY!$Y40-1,"")</f>
        <v>0.29112440335885337</v>
      </c>
      <c r="O38" s="55">
        <f>IFERROR(Inv_SY!O40/Inv_SY!$Y40-1,"")</f>
        <v>0.33859436689753397</v>
      </c>
      <c r="P38" s="55">
        <f>IFERROR(Inv_SY!P40/Inv_SY!$Y40-1,"")</f>
        <v>0.28579135807240896</v>
      </c>
      <c r="Q38" s="55">
        <f>IFERROR(Inv_SY!Q40/Inv_SY!$Y40-1,"")</f>
        <v>-1</v>
      </c>
      <c r="R38" s="55">
        <f>IFERROR(Inv_SY!R40/Inv_SY!$Y40-1,"")</f>
        <v>6.5630110599246505E-2</v>
      </c>
      <c r="S38" s="55">
        <f>IFERROR(Inv_SY!S40/Inv_SY!$Y40-1,"")</f>
        <v>2.4713417647254765E-2</v>
      </c>
      <c r="T38" s="55">
        <f>IFERROR(Inv_SY!T40/Inv_SY!$Y40-1,"")</f>
        <v>-6.4469525804073946E-3</v>
      </c>
      <c r="U38" s="55">
        <f>IFERROR(Inv_SY!U40/Inv_SY!$Y40-1,"")</f>
        <v>-1.3600534521828411E-2</v>
      </c>
      <c r="V38" s="55">
        <f>IFERROR(Inv_SY!J40/Inv_SY!$Z40-1,"")</f>
        <v>0.30397310214303741</v>
      </c>
      <c r="W38" s="55">
        <f>IFERROR(Inv_SY!K40/Inv_SY!$Z40-1,"")</f>
        <v>0.30391637806516436</v>
      </c>
      <c r="X38" s="55">
        <f>IFERROR(Inv_SY!L40/Inv_SY!$Z40-1,"")</f>
        <v>-1</v>
      </c>
      <c r="Y38" s="55">
        <f>IFERROR(Inv_SY!M40/Inv_SY!$Z40-1,"")</f>
        <v>0.34122011251522144</v>
      </c>
      <c r="Z38" s="55">
        <f>IFERROR(Inv_SY!N40/Inv_SY!$Z40-1,"")</f>
        <v>0.27017485075992753</v>
      </c>
      <c r="AA38" s="55">
        <f>IFERROR(Inv_SY!O40/Inv_SY!$Z40-1,"")</f>
        <v>0.31687457519892437</v>
      </c>
      <c r="AB38" s="55">
        <f>IFERROR(Inv_SY!P40/Inv_SY!$Z40-1,"")</f>
        <v>0.26492833850813891</v>
      </c>
      <c r="AC38" s="55">
        <f>IFERROR(Inv_SY!Q40/Inv_SY!$Z40-1,"")</f>
        <v>-1</v>
      </c>
      <c r="AD38" s="55">
        <f>IFERROR(Inv_SY!R40/Inv_SY!$Z40-1,"")</f>
        <v>4.8339387881186857E-2</v>
      </c>
      <c r="AE38" s="55">
        <f>IFERROR(Inv_SY!S40/Inv_SY!$Z40-1,"")</f>
        <v>8.0866018377330207E-3</v>
      </c>
      <c r="AF38" s="55">
        <f>IFERROR(Inv_SY!T40/Inv_SY!$Z40-1,"")</f>
        <v>-2.2568165821045594E-2</v>
      </c>
      <c r="AG38" s="55">
        <f>IFERROR(Inv_SY!U40/Inv_SY!$Z40-1,"")</f>
        <v>-2.9605675027134071E-2</v>
      </c>
      <c r="AH38" s="55">
        <f>IFERROR(Inv_SY!V40/Inv_SY!$Y40-1,"")</f>
        <v>2.9918601545897427E-3</v>
      </c>
      <c r="AI38" s="55">
        <f>IFERROR(Inv_SY!W40/Inv_SY!$Y40-1,"")</f>
        <v>-1.9485300082480284E-2</v>
      </c>
      <c r="AJ38" s="55">
        <f>IFERROR(Inv_SY!X40/Inv_SY!$Y40-1,"")</f>
        <v>1.6493439927890208E-2</v>
      </c>
      <c r="AK38" s="55">
        <f>IFERROR(Inv_SY!V40/Inv_SY!$Z40-1,"")</f>
        <v>-1.3282505565661462E-2</v>
      </c>
      <c r="AL38" s="55">
        <f>IFERROR(Inv_SY!W40/Inv_SY!$Z40-1,"")</f>
        <v>-3.5394955439085662E-2</v>
      </c>
      <c r="AM38" s="55">
        <f>IFERROR(Inv_SY!X40/Inv_SY!$Z40-1,"")</f>
        <v>0</v>
      </c>
    </row>
    <row r="39" spans="1:39" x14ac:dyDescent="0.3">
      <c r="A39" s="53">
        <f>YEAR(Table5[[#This Row],[Date]])+IF(MONTH(Table5[[#This Row],[Date]])&gt;=4,1,0)</f>
        <v>2026</v>
      </c>
      <c r="B39" s="53">
        <v>4</v>
      </c>
      <c r="C39" s="92">
        <f>YEAR(Table5[[#This Row],[Date]])</f>
        <v>2025</v>
      </c>
      <c r="D39" s="53" t="s">
        <v>317</v>
      </c>
      <c r="E39" s="53" t="s">
        <v>317</v>
      </c>
      <c r="F39" s="94" t="str">
        <f>TEXT(Table5[[#This Row],[Date]],"mmm-yy")</f>
        <v>May-25</v>
      </c>
      <c r="G39" s="92">
        <f t="shared" si="3"/>
        <v>31</v>
      </c>
      <c r="H39" s="93">
        <f t="shared" si="2"/>
        <v>45782</v>
      </c>
      <c r="I39" s="53">
        <v>8.02</v>
      </c>
      <c r="J39" s="55">
        <f>IFERROR(Inv_SY!J41/Inv_SY!$Y41-1,"")</f>
        <v>0.33709260417658071</v>
      </c>
      <c r="K39" s="55">
        <f>IFERROR(Inv_SY!K41/Inv_SY!$Y41-1,"")</f>
        <v>0.33706328775648431</v>
      </c>
      <c r="L39" s="55">
        <f>IFERROR(Inv_SY!L41/Inv_SY!$Y41-1,"")</f>
        <v>-1</v>
      </c>
      <c r="M39" s="55">
        <f>IFERROR(Inv_SY!M41/Inv_SY!$Y41-1,"")</f>
        <v>0.33690134943595207</v>
      </c>
      <c r="N39" s="55">
        <f>IFERROR(Inv_SY!N41/Inv_SY!$Y41-1,"")</f>
        <v>0.3088935722232018</v>
      </c>
      <c r="O39" s="55">
        <f>IFERROR(Inv_SY!O41/Inv_SY!$Y41-1,"")</f>
        <v>0.30126553583352966</v>
      </c>
      <c r="P39" s="55">
        <f>IFERROR(Inv_SY!P41/Inv_SY!$Y41-1,"")</f>
        <v>0.32665259444290817</v>
      </c>
      <c r="Q39" s="55">
        <f>IFERROR(Inv_SY!Q41/Inv_SY!$Y41-1,"")</f>
        <v>-1</v>
      </c>
      <c r="R39" s="55">
        <f>IFERROR(Inv_SY!R41/Inv_SY!$Y41-1,"")</f>
        <v>1.3161338779029697E-2</v>
      </c>
      <c r="S39" s="55">
        <f>IFERROR(Inv_SY!S41/Inv_SY!$Y41-1,"")</f>
        <v>5.1715160375577884E-2</v>
      </c>
      <c r="T39" s="55">
        <f>IFERROR(Inv_SY!T41/Inv_SY!$Y41-1,"")</f>
        <v>-1.5705721401865214E-3</v>
      </c>
      <c r="U39" s="55">
        <f>IFERROR(Inv_SY!U41/Inv_SY!$Y41-1,"")</f>
        <v>-1.0490275309166686E-2</v>
      </c>
      <c r="V39" s="55">
        <f>IFERROR(Inv_SY!J41/Inv_SY!$Z41-1,"")</f>
        <v>0.32116332396248026</v>
      </c>
      <c r="W39" s="55">
        <f>IFERROR(Inv_SY!K41/Inv_SY!$Z41-1,"")</f>
        <v>0.3211343567997722</v>
      </c>
      <c r="X39" s="55">
        <f>IFERROR(Inv_SY!L41/Inv_SY!$Z41-1,"")</f>
        <v>-1</v>
      </c>
      <c r="Y39" s="55">
        <f>IFERROR(Inv_SY!M41/Inv_SY!$Z41-1,"")</f>
        <v>0.32097434771052646</v>
      </c>
      <c r="Z39" s="55">
        <f>IFERROR(Inv_SY!N41/Inv_SY!$Z41-1,"")</f>
        <v>0.29330023753774226</v>
      </c>
      <c r="AA39" s="55">
        <f>IFERROR(Inv_SY!O41/Inv_SY!$Z41-1,"")</f>
        <v>0.28576307677534896</v>
      </c>
      <c r="AB39" s="55">
        <f>IFERROR(Inv_SY!P41/Inv_SY!$Z41-1,"")</f>
        <v>0.31084768993768996</v>
      </c>
      <c r="AC39" s="55">
        <f>IFERROR(Inv_SY!Q41/Inv_SY!$Z41-1,"")</f>
        <v>-1</v>
      </c>
      <c r="AD39" s="55">
        <f>IFERROR(Inv_SY!R41/Inv_SY!$Z41-1,"")</f>
        <v>1.0911718982227203E-3</v>
      </c>
      <c r="AE39" s="55">
        <f>IFERROR(Inv_SY!S41/Inv_SY!$Z41-1,"")</f>
        <v>3.9185687515800316E-2</v>
      </c>
      <c r="AF39" s="55">
        <f>IFERROR(Inv_SY!T41/Inv_SY!$Z41-1,"")</f>
        <v>-1.3465232301123509E-2</v>
      </c>
      <c r="AG39" s="55">
        <f>IFERROR(Inv_SY!U41/Inv_SY!$Z41-1,"")</f>
        <v>-2.2278671737314015E-2</v>
      </c>
      <c r="AH39" s="55">
        <f>IFERROR(Inv_SY!V41/Inv_SY!$Y41-1,"")</f>
        <v>2.0939892357314527E-3</v>
      </c>
      <c r="AI39" s="55">
        <f>IFERROR(Inv_SY!W41/Inv_SY!$Y41-1,"")</f>
        <v>-1.4150999845384704E-2</v>
      </c>
      <c r="AJ39" s="55">
        <f>IFERROR(Inv_SY!X41/Inv_SY!$Y41-1,"")</f>
        <v>1.205701060965314E-2</v>
      </c>
      <c r="AK39" s="55">
        <f>IFERROR(Inv_SY!V41/Inv_SY!$Z41-1,"")</f>
        <v>-9.8443282043173541E-3</v>
      </c>
      <c r="AL39" s="55">
        <f>IFERROR(Inv_SY!W41/Inv_SY!$Z41-1,"")</f>
        <v>-2.5895784704115021E-2</v>
      </c>
      <c r="AM39" s="55">
        <f>IFERROR(Inv_SY!X41/Inv_SY!$Z41-1,"")</f>
        <v>0</v>
      </c>
    </row>
    <row r="40" spans="1:39" x14ac:dyDescent="0.3">
      <c r="A40" s="53">
        <f>YEAR(Table5[[#This Row],[Date]])+IF(MONTH(Table5[[#This Row],[Date]])&gt;=4,1,0)</f>
        <v>2026</v>
      </c>
      <c r="B40" s="53">
        <v>4</v>
      </c>
      <c r="C40" s="92">
        <f>YEAR(Table5[[#This Row],[Date]])</f>
        <v>2025</v>
      </c>
      <c r="D40" s="53" t="s">
        <v>317</v>
      </c>
      <c r="E40" s="53" t="s">
        <v>317</v>
      </c>
      <c r="F40" s="94" t="str">
        <f>TEXT(Table5[[#This Row],[Date]],"mmm-yy")</f>
        <v>May-25</v>
      </c>
      <c r="G40" s="92">
        <f t="shared" si="3"/>
        <v>31</v>
      </c>
      <c r="H40" s="93">
        <f t="shared" si="2"/>
        <v>45783</v>
      </c>
      <c r="I40" s="53">
        <v>8.02</v>
      </c>
      <c r="J40" s="55">
        <f>IFERROR(Inv_SY!J42/Inv_SY!$Y42-1,"")</f>
        <v>0.3578108636649644</v>
      </c>
      <c r="K40" s="55">
        <f>IFERROR(Inv_SY!K42/Inv_SY!$Y42-1,"")</f>
        <v>0.33310439703782824</v>
      </c>
      <c r="L40" s="55">
        <f>IFERROR(Inv_SY!L42/Inv_SY!$Y42-1,"")</f>
        <v>-1</v>
      </c>
      <c r="M40" s="55">
        <f>IFERROR(Inv_SY!M42/Inv_SY!$Y42-1,"")</f>
        <v>0.31173231811232527</v>
      </c>
      <c r="N40" s="55">
        <f>IFERROR(Inv_SY!N42/Inv_SY!$Y42-1,"")</f>
        <v>0.33624988226782282</v>
      </c>
      <c r="O40" s="55">
        <f>IFERROR(Inv_SY!O42/Inv_SY!$Y42-1,"")</f>
        <v>0.30404845579894202</v>
      </c>
      <c r="P40" s="55">
        <f>IFERROR(Inv_SY!P42/Inv_SY!$Y42-1,"")</f>
        <v>0.30614108002145879</v>
      </c>
      <c r="Q40" s="55">
        <f>IFERROR(Inv_SY!Q42/Inv_SY!$Y42-1,"")</f>
        <v>-1</v>
      </c>
      <c r="R40" s="55">
        <f>IFERROR(Inv_SY!R42/Inv_SY!$Y42-1,"")</f>
        <v>1.2035936802234026E-2</v>
      </c>
      <c r="S40" s="55">
        <f>IFERROR(Inv_SY!S42/Inv_SY!$Y42-1,"")</f>
        <v>3.0034973814844879E-2</v>
      </c>
      <c r="T40" s="55">
        <f>IFERROR(Inv_SY!T42/Inv_SY!$Y42-1,"")</f>
        <v>1.929035260377221E-2</v>
      </c>
      <c r="U40" s="55">
        <f>IFERROR(Inv_SY!U42/Inv_SY!$Y42-1,"")</f>
        <v>-1.0029336049805049E-2</v>
      </c>
      <c r="V40" s="55">
        <f>IFERROR(Inv_SY!J42/Inv_SY!$Z42-1,"")</f>
        <v>0.34192686468486211</v>
      </c>
      <c r="W40" s="55">
        <f>IFERROR(Inv_SY!K42/Inv_SY!$Z42-1,"")</f>
        <v>0.31750942026340212</v>
      </c>
      <c r="X40" s="55">
        <f>IFERROR(Inv_SY!L42/Inv_SY!$Z42-1,"")</f>
        <v>-1</v>
      </c>
      <c r="Y40" s="55">
        <f>IFERROR(Inv_SY!M42/Inv_SY!$Z42-1,"")</f>
        <v>0.29638735707200436</v>
      </c>
      <c r="Z40" s="55">
        <f>IFERROR(Inv_SY!N42/Inv_SY!$Z42-1,"")</f>
        <v>0.32061810884850139</v>
      </c>
      <c r="AA40" s="55">
        <f>IFERROR(Inv_SY!O42/Inv_SY!$Z42-1,"")</f>
        <v>0.28879338243327091</v>
      </c>
      <c r="AB40" s="55">
        <f>IFERROR(Inv_SY!P42/Inv_SY!$Z42-1,"")</f>
        <v>0.29086152663290266</v>
      </c>
      <c r="AC40" s="55">
        <f>IFERROR(Inv_SY!Q42/Inv_SY!$Z42-1,"")</f>
        <v>-1</v>
      </c>
      <c r="AD40" s="55">
        <f>IFERROR(Inv_SY!R42/Inv_SY!$Z42-1,"")</f>
        <v>1.9689631569375088E-4</v>
      </c>
      <c r="AE40" s="55">
        <f>IFERROR(Inv_SY!S42/Inv_SY!$Z42-1,"")</f>
        <v>1.7985376252056762E-2</v>
      </c>
      <c r="AF40" s="55">
        <f>IFERROR(Inv_SY!T42/Inv_SY!$Z42-1,"")</f>
        <v>7.3664482114581542E-3</v>
      </c>
      <c r="AG40" s="55">
        <f>IFERROR(Inv_SY!U42/Inv_SY!$Z42-1,"")</f>
        <v>-2.1610251652492529E-2</v>
      </c>
      <c r="AH40" s="55">
        <f>IFERROR(Inv_SY!V42/Inv_SY!$Y42-1,"")</f>
        <v>-9.6664510422339589E-5</v>
      </c>
      <c r="AI40" s="55">
        <f>IFERROR(Inv_SY!W42/Inv_SY!$Y42-1,"")</f>
        <v>-1.1740045371551933E-2</v>
      </c>
      <c r="AJ40" s="55">
        <f>IFERROR(Inv_SY!X42/Inv_SY!$Y42-1,"")</f>
        <v>1.1836709881974494E-2</v>
      </c>
      <c r="AK40" s="55">
        <f>IFERROR(Inv_SY!V42/Inv_SY!$Z42-1,"")</f>
        <v>-1.1793774900486387E-2</v>
      </c>
      <c r="AL40" s="55">
        <f>IFERROR(Inv_SY!W42/Inv_SY!$Z42-1,"")</f>
        <v>-2.3300948683979361E-2</v>
      </c>
      <c r="AM40" s="55">
        <f>IFERROR(Inv_SY!X42/Inv_SY!$Z42-1,"")</f>
        <v>0</v>
      </c>
    </row>
    <row r="41" spans="1:39" x14ac:dyDescent="0.3">
      <c r="A41" s="53">
        <f>YEAR(Table5[[#This Row],[Date]])+IF(MONTH(Table5[[#This Row],[Date]])&gt;=4,1,0)</f>
        <v>2026</v>
      </c>
      <c r="B41" s="53">
        <v>4</v>
      </c>
      <c r="C41" s="92">
        <f>YEAR(Table5[[#This Row],[Date]])</f>
        <v>2025</v>
      </c>
      <c r="D41" s="53" t="s">
        <v>317</v>
      </c>
      <c r="E41" s="53" t="s">
        <v>317</v>
      </c>
      <c r="F41" s="94" t="str">
        <f>TEXT(Table5[[#This Row],[Date]],"mmm-yy")</f>
        <v>May-25</v>
      </c>
      <c r="G41" s="92">
        <f t="shared" si="3"/>
        <v>31</v>
      </c>
      <c r="H41" s="93">
        <f t="shared" si="2"/>
        <v>45784</v>
      </c>
      <c r="I41" s="53">
        <v>8.02</v>
      </c>
      <c r="J41" s="55">
        <f>IFERROR(Inv_SY!J43/Inv_SY!$Y43-1,"")</f>
        <v>0.32591460918511239</v>
      </c>
      <c r="K41" s="55">
        <f>IFERROR(Inv_SY!K43/Inv_SY!$Y43-1,"")</f>
        <v>0.34853751097704433</v>
      </c>
      <c r="L41" s="55">
        <f>IFERROR(Inv_SY!L43/Inv_SY!$Y43-1,"")</f>
        <v>-1</v>
      </c>
      <c r="M41" s="55">
        <f>IFERROR(Inv_SY!M43/Inv_SY!$Y43-1,"")</f>
        <v>0.305436147364893</v>
      </c>
      <c r="N41" s="55">
        <f>IFERROR(Inv_SY!N43/Inv_SY!$Y43-1,"")</f>
        <v>0.34299043220781811</v>
      </c>
      <c r="O41" s="55">
        <f>IFERROR(Inv_SY!O43/Inv_SY!$Y43-1,"")</f>
        <v>0.30987323197434802</v>
      </c>
      <c r="P41" s="55">
        <f>IFERROR(Inv_SY!P43/Inv_SY!$Y43-1,"")</f>
        <v>0.31252754625214707</v>
      </c>
      <c r="Q41" s="55">
        <f>IFERROR(Inv_SY!Q43/Inv_SY!$Y43-1,"")</f>
        <v>-1</v>
      </c>
      <c r="R41" s="55">
        <f>IFERROR(Inv_SY!R43/Inv_SY!$Y43-1,"")</f>
        <v>1.2759438172753157E-2</v>
      </c>
      <c r="S41" s="55">
        <f>IFERROR(Inv_SY!S43/Inv_SY!$Y43-1,"")</f>
        <v>3.123794233272692E-2</v>
      </c>
      <c r="T41" s="55">
        <f>IFERROR(Inv_SY!T43/Inv_SY!$Y43-1,"")</f>
        <v>-1.0367781715413527E-3</v>
      </c>
      <c r="U41" s="55">
        <f>IFERROR(Inv_SY!U43/Inv_SY!$Y43-1,"")</f>
        <v>1.2119277428713993E-2</v>
      </c>
      <c r="V41" s="55">
        <f>IFERROR(Inv_SY!J43/Inv_SY!$Z43-1,"")</f>
        <v>0.3091939852733685</v>
      </c>
      <c r="W41" s="55">
        <f>IFERROR(Inv_SY!K43/Inv_SY!$Z43-1,"")</f>
        <v>0.33153159792975972</v>
      </c>
      <c r="X41" s="55">
        <f>IFERROR(Inv_SY!L43/Inv_SY!$Z43-1,"")</f>
        <v>-1</v>
      </c>
      <c r="Y41" s="55">
        <f>IFERROR(Inv_SY!M43/Inv_SY!$Z43-1,"")</f>
        <v>0.28897376984097445</v>
      </c>
      <c r="Z41" s="55">
        <f>IFERROR(Inv_SY!N43/Inv_SY!$Z43-1,"")</f>
        <v>0.32605447134091281</v>
      </c>
      <c r="AA41" s="55">
        <f>IFERROR(Inv_SY!O43/Inv_SY!$Z43-1,"")</f>
        <v>0.2933549000001916</v>
      </c>
      <c r="AB41" s="55">
        <f>IFERROR(Inv_SY!P43/Inv_SY!$Z43-1,"")</f>
        <v>0.29597574169199214</v>
      </c>
      <c r="AC41" s="55">
        <f>IFERROR(Inv_SY!Q43/Inv_SY!$Z43-1,"")</f>
        <v>-1</v>
      </c>
      <c r="AD41" s="55">
        <f>IFERROR(Inv_SY!R43/Inv_SY!$Z43-1,"")</f>
        <v>-1.2100477962184719E-5</v>
      </c>
      <c r="AE41" s="55">
        <f>IFERROR(Inv_SY!S43/Inv_SY!$Z43-1,"")</f>
        <v>1.8233378028345903E-2</v>
      </c>
      <c r="AF41" s="55">
        <f>IFERROR(Inv_SY!T43/Inv_SY!$Z43-1,"")</f>
        <v>-1.3634337786728956E-2</v>
      </c>
      <c r="AG41" s="55">
        <f>IFERROR(Inv_SY!U43/Inv_SY!$Z43-1,"")</f>
        <v>-6.4418838912816412E-4</v>
      </c>
      <c r="AH41" s="55">
        <f>IFERROR(Inv_SY!V43/Inv_SY!$Y43-1,"")</f>
        <v>-5.7775201040402013E-3</v>
      </c>
      <c r="AI41" s="55">
        <f>IFERROR(Inv_SY!W43/Inv_SY!$Y43-1,"")</f>
        <v>-6.9941730902672861E-3</v>
      </c>
      <c r="AJ41" s="55">
        <f>IFERROR(Inv_SY!X43/Inv_SY!$Y43-1,"")</f>
        <v>1.2771693194307376E-2</v>
      </c>
      <c r="AK41" s="55">
        <f>IFERROR(Inv_SY!V43/Inv_SY!$Z43-1,"")</f>
        <v>-1.8315295957613831E-2</v>
      </c>
      <c r="AL41" s="55">
        <f>IFERROR(Inv_SY!W43/Inv_SY!$Z43-1,"")</f>
        <v>-1.9516606178271556E-2</v>
      </c>
      <c r="AM41" s="55">
        <f>IFERROR(Inv_SY!X43/Inv_SY!$Z43-1,"")</f>
        <v>0</v>
      </c>
    </row>
    <row r="42" spans="1:39" x14ac:dyDescent="0.3">
      <c r="A42" s="53">
        <f>YEAR(Table5[[#This Row],[Date]])+IF(MONTH(Table5[[#This Row],[Date]])&gt;=4,1,0)</f>
        <v>2026</v>
      </c>
      <c r="B42" s="53">
        <v>4</v>
      </c>
      <c r="C42" s="92">
        <f>YEAR(Table5[[#This Row],[Date]])</f>
        <v>2025</v>
      </c>
      <c r="D42" s="53" t="s">
        <v>317</v>
      </c>
      <c r="E42" s="53" t="s">
        <v>317</v>
      </c>
      <c r="F42" s="94" t="str">
        <f>TEXT(Table5[[#This Row],[Date]],"mmm-yy")</f>
        <v>May-25</v>
      </c>
      <c r="G42" s="92">
        <f t="shared" ref="G42:G44" si="4">DAY(EOMONTH(F42,0))</f>
        <v>31</v>
      </c>
      <c r="H42" s="93">
        <f t="shared" si="2"/>
        <v>45785</v>
      </c>
      <c r="I42" s="53">
        <v>8.02</v>
      </c>
      <c r="J42" s="55">
        <f>IFERROR(Inv_SY!J44/Inv_SY!$Y44-1,"")</f>
        <v>0.32684904449424357</v>
      </c>
      <c r="K42" s="55">
        <f>IFERROR(Inv_SY!K44/Inv_SY!$Y44-1,"")</f>
        <v>0.32684904449424357</v>
      </c>
      <c r="L42" s="55">
        <f>IFERROR(Inv_SY!L44/Inv_SY!$Y44-1,"")</f>
        <v>-1</v>
      </c>
      <c r="M42" s="55">
        <f>IFERROR(Inv_SY!M44/Inv_SY!$Y44-1,"")</f>
        <v>0.34067324127951237</v>
      </c>
      <c r="N42" s="55">
        <f>IFERROR(Inv_SY!N44/Inv_SY!$Y44-1,"")</f>
        <v>0.30582967443298359</v>
      </c>
      <c r="O42" s="55">
        <f>IFERROR(Inv_SY!O44/Inv_SY!$Y44-1,"")</f>
        <v>0.33332310424946066</v>
      </c>
      <c r="P42" s="55">
        <f>IFERROR(Inv_SY!P44/Inv_SY!$Y44-1,"")</f>
        <v>0.30032480322113586</v>
      </c>
      <c r="Q42" s="55">
        <f>IFERROR(Inv_SY!Q44/Inv_SY!$Y44-1,"")</f>
        <v>-1</v>
      </c>
      <c r="R42" s="55">
        <f>IFERROR(Inv_SY!R44/Inv_SY!$Y44-1,"")</f>
        <v>4.6916959962858495E-2</v>
      </c>
      <c r="S42" s="55">
        <f>IFERROR(Inv_SY!S44/Inv_SY!$Y44-1,"")</f>
        <v>3.0571669248154132E-2</v>
      </c>
      <c r="T42" s="55">
        <f>IFERROR(Inv_SY!T44/Inv_SY!$Y44-1,"")</f>
        <v>-1.7224943190899955E-3</v>
      </c>
      <c r="U42" s="55">
        <f>IFERROR(Inv_SY!U44/Inv_SY!$Y44-1,"")</f>
        <v>-9.3923334983911921E-3</v>
      </c>
      <c r="V42" s="55">
        <f>IFERROR(Inv_SY!J44/Inv_SY!$Z44-1,"")</f>
        <v>0.30657015194045467</v>
      </c>
      <c r="W42" s="55">
        <f>IFERROR(Inv_SY!K44/Inv_SY!$Z44-1,"")</f>
        <v>0.30657015194045467</v>
      </c>
      <c r="X42" s="55">
        <f>IFERROR(Inv_SY!L44/Inv_SY!$Z44-1,"")</f>
        <v>-1</v>
      </c>
      <c r="Y42" s="55">
        <f>IFERROR(Inv_SY!M44/Inv_SY!$Z44-1,"")</f>
        <v>0.32018306666435103</v>
      </c>
      <c r="Z42" s="55">
        <f>IFERROR(Inv_SY!N44/Inv_SY!$Z44-1,"")</f>
        <v>0.28587203134520545</v>
      </c>
      <c r="AA42" s="55">
        <f>IFERROR(Inv_SY!O44/Inv_SY!$Z44-1,"")</f>
        <v>0.31294526542691004</v>
      </c>
      <c r="AB42" s="55">
        <f>IFERROR(Inv_SY!P44/Inv_SY!$Z44-1,"")</f>
        <v>0.28045129381253608</v>
      </c>
      <c r="AC42" s="55">
        <f>IFERROR(Inv_SY!Q44/Inv_SY!$Z44-1,"")</f>
        <v>-1</v>
      </c>
      <c r="AD42" s="55">
        <f>IFERROR(Inv_SY!R44/Inv_SY!$Z44-1,"")</f>
        <v>3.0916408406582052E-2</v>
      </c>
      <c r="AE42" s="55">
        <f>IFERROR(Inv_SY!S44/Inv_SY!$Z44-1,"")</f>
        <v>1.4820930883166827E-2</v>
      </c>
      <c r="AF42" s="55">
        <f>IFERROR(Inv_SY!T44/Inv_SY!$Z44-1,"")</f>
        <v>-1.6979664952456175E-2</v>
      </c>
      <c r="AG42" s="55">
        <f>IFERROR(Inv_SY!U44/Inv_SY!$Z44-1,"")</f>
        <v>-2.4532282172509356E-2</v>
      </c>
      <c r="AH42" s="55">
        <f>IFERROR(Inv_SY!V44/Inv_SY!$Y44-1,"")</f>
        <v>-2.0372917118418599E-3</v>
      </c>
      <c r="AI42" s="55">
        <f>IFERROR(Inv_SY!W44/Inv_SY!$Y44-1,"")</f>
        <v>-1.3483415326866921E-2</v>
      </c>
      <c r="AJ42" s="55">
        <f>IFERROR(Inv_SY!X44/Inv_SY!$Y44-1,"")</f>
        <v>1.552070703870867E-2</v>
      </c>
      <c r="AK42" s="55">
        <f>IFERROR(Inv_SY!V44/Inv_SY!$Z44-1,"")</f>
        <v>-1.7289651140398932E-2</v>
      </c>
      <c r="AL42" s="55">
        <f>IFERROR(Inv_SY!W44/Inv_SY!$Z44-1,"")</f>
        <v>-2.8560837966714159E-2</v>
      </c>
      <c r="AM42" s="55">
        <f>IFERROR(Inv_SY!X44/Inv_SY!$Z44-1,"")</f>
        <v>0</v>
      </c>
    </row>
    <row r="43" spans="1:39" x14ac:dyDescent="0.3">
      <c r="A43" s="53">
        <f>YEAR(Table5[[#This Row],[Date]])+IF(MONTH(Table5[[#This Row],[Date]])&gt;=4,1,0)</f>
        <v>2026</v>
      </c>
      <c r="B43" s="53">
        <v>4</v>
      </c>
      <c r="C43" s="92">
        <f>YEAR(Table5[[#This Row],[Date]])</f>
        <v>2025</v>
      </c>
      <c r="D43" s="53" t="s">
        <v>317</v>
      </c>
      <c r="E43" s="53" t="s">
        <v>317</v>
      </c>
      <c r="F43" s="94" t="str">
        <f>TEXT(Table5[[#This Row],[Date]],"mmm-yy")</f>
        <v>May-25</v>
      </c>
      <c r="G43" s="92">
        <f t="shared" si="4"/>
        <v>31</v>
      </c>
      <c r="H43" s="93">
        <f t="shared" si="2"/>
        <v>45786</v>
      </c>
      <c r="I43" s="53">
        <v>8.02</v>
      </c>
      <c r="J43" s="55">
        <f>IFERROR(Inv_SY!J45/Inv_SY!$Y45-1,"")</f>
        <v>0.3391933827236091</v>
      </c>
      <c r="K43" s="55">
        <f>IFERROR(Inv_SY!K45/Inv_SY!$Y45-1,"")</f>
        <v>0.33891727302773011</v>
      </c>
      <c r="L43" s="55">
        <f>IFERROR(Inv_SY!L45/Inv_SY!$Y45-1,"")</f>
        <v>-1</v>
      </c>
      <c r="M43" s="55">
        <f>IFERROR(Inv_SY!M45/Inv_SY!$Y45-1,"")</f>
        <v>0.34112371576499312</v>
      </c>
      <c r="N43" s="55">
        <f>IFERROR(Inv_SY!N45/Inv_SY!$Y45-1,"")</f>
        <v>0.30891787913066326</v>
      </c>
      <c r="O43" s="55">
        <f>IFERROR(Inv_SY!O45/Inv_SY!$Y45-1,"")</f>
        <v>0.30056116017487744</v>
      </c>
      <c r="P43" s="55">
        <f>IFERROR(Inv_SY!P45/Inv_SY!$Y45-1,"")</f>
        <v>0.3275334060582904</v>
      </c>
      <c r="Q43" s="55">
        <f>IFERROR(Inv_SY!Q45/Inv_SY!$Y45-1,"")</f>
        <v>-1</v>
      </c>
      <c r="R43" s="55">
        <f>IFERROR(Inv_SY!R45/Inv_SY!$Y45-1,"")</f>
        <v>9.0857452058883403E-3</v>
      </c>
      <c r="S43" s="55">
        <f>IFERROR(Inv_SY!S45/Inv_SY!$Y45-1,"")</f>
        <v>5.1823127479515563E-2</v>
      </c>
      <c r="T43" s="55">
        <f>IFERROR(Inv_SY!T45/Inv_SY!$Y45-1,"")</f>
        <v>-4.2881183605891771E-3</v>
      </c>
      <c r="U43" s="55">
        <f>IFERROR(Inv_SY!U45/Inv_SY!$Y45-1,"")</f>
        <v>-1.2172372990401858E-2</v>
      </c>
      <c r="V43" s="55">
        <f>IFERROR(Inv_SY!J45/Inv_SY!$Z45-1,"")</f>
        <v>0.32598941169922213</v>
      </c>
      <c r="W43" s="55">
        <f>IFERROR(Inv_SY!K45/Inv_SY!$Z45-1,"")</f>
        <v>0.32571602434686042</v>
      </c>
      <c r="X43" s="55">
        <f>IFERROR(Inv_SY!L45/Inv_SY!$Z45-1,"")</f>
        <v>-1</v>
      </c>
      <c r="Y43" s="55">
        <f>IFERROR(Inv_SY!M45/Inv_SY!$Z45-1,"")</f>
        <v>0.32790071234254103</v>
      </c>
      <c r="Z43" s="55">
        <f>IFERROR(Inv_SY!N45/Inv_SY!$Z45-1,"")</f>
        <v>0.29601241381676369</v>
      </c>
      <c r="AA43" s="55">
        <f>IFERROR(Inv_SY!O45/Inv_SY!$Z45-1,"")</f>
        <v>0.2877380891412773</v>
      </c>
      <c r="AB43" s="55">
        <f>IFERROR(Inv_SY!P45/Inv_SY!$Z45-1,"")</f>
        <v>0.31444439826178372</v>
      </c>
      <c r="AC43" s="55">
        <f>IFERROR(Inv_SY!Q45/Inv_SY!$Z45-1,"")</f>
        <v>-1</v>
      </c>
      <c r="AD43" s="55">
        <f>IFERROR(Inv_SY!R45/Inv_SY!$Z45-1,"")</f>
        <v>-8.6348177858397435E-4</v>
      </c>
      <c r="AE43" s="55">
        <f>IFERROR(Inv_SY!S45/Inv_SY!$Z45-1,"")</f>
        <v>4.1452525087668057E-2</v>
      </c>
      <c r="AF43" s="55">
        <f>IFERROR(Inv_SY!T45/Inv_SY!$Z45-1,"")</f>
        <v>-1.4105483801169494E-2</v>
      </c>
      <c r="AG43" s="55">
        <f>IFERROR(Inv_SY!U45/Inv_SY!$Z45-1,"")</f>
        <v>-2.1912002481100701E-2</v>
      </c>
      <c r="AH43" s="55">
        <f>IFERROR(Inv_SY!V45/Inv_SY!$Y45-1,"")</f>
        <v>4.1429048087278098E-3</v>
      </c>
      <c r="AI43" s="55">
        <f>IFERROR(Inv_SY!W45/Inv_SY!$Y45-1,"")</f>
        <v>-1.410073019397462E-2</v>
      </c>
      <c r="AJ43" s="55">
        <f>IFERROR(Inv_SY!X45/Inv_SY!$Y45-1,"")</f>
        <v>9.9578253852468102E-3</v>
      </c>
      <c r="AK43" s="55">
        <f>IFERROR(Inv_SY!V45/Inv_SY!$Z45-1,"")</f>
        <v>-5.757587525301755E-3</v>
      </c>
      <c r="AL43" s="55">
        <f>IFERROR(Inv_SY!W45/Inv_SY!$Z45-1,"")</f>
        <v>-2.3821346767667562E-2</v>
      </c>
      <c r="AM43" s="55">
        <f>IFERROR(Inv_SY!X45/Inv_SY!$Z45-1,"")</f>
        <v>0</v>
      </c>
    </row>
    <row r="44" spans="1:39" x14ac:dyDescent="0.3">
      <c r="A44" s="53">
        <f>YEAR(Table5[[#This Row],[Date]])+IF(MONTH(Table5[[#This Row],[Date]])&gt;=4,1,0)</f>
        <v>2026</v>
      </c>
      <c r="B44" s="53">
        <v>4</v>
      </c>
      <c r="C44" s="92">
        <f>YEAR(Table5[[#This Row],[Date]])</f>
        <v>2025</v>
      </c>
      <c r="D44" s="53" t="s">
        <v>317</v>
      </c>
      <c r="E44" s="53" t="s">
        <v>317</v>
      </c>
      <c r="F44" s="94" t="str">
        <f>TEXT(Table5[[#This Row],[Date]],"mmm-yy")</f>
        <v>May-25</v>
      </c>
      <c r="G44" s="92">
        <f t="shared" si="4"/>
        <v>31</v>
      </c>
      <c r="H44" s="93">
        <f t="shared" si="2"/>
        <v>45787</v>
      </c>
      <c r="I44" s="53">
        <v>8.02</v>
      </c>
      <c r="J44" s="55">
        <f>IFERROR(Inv_SY!J46/Inv_SY!$Y46-1,"")</f>
        <v>0.35871018365370277</v>
      </c>
      <c r="K44" s="55">
        <f>IFERROR(Inv_SY!K46/Inv_SY!$Y46-1,"")</f>
        <v>0.32845872649128416</v>
      </c>
      <c r="L44" s="55">
        <f>IFERROR(Inv_SY!L46/Inv_SY!$Y46-1,"")</f>
        <v>-1</v>
      </c>
      <c r="M44" s="55">
        <f>IFERROR(Inv_SY!M46/Inv_SY!$Y46-1,"")</f>
        <v>0.30730085689238429</v>
      </c>
      <c r="N44" s="55">
        <f>IFERROR(Inv_SY!N46/Inv_SY!$Y46-1,"")</f>
        <v>0.35049419256225467</v>
      </c>
      <c r="O44" s="55">
        <f>IFERROR(Inv_SY!O46/Inv_SY!$Y46-1,"")</f>
        <v>0.31103014755505654</v>
      </c>
      <c r="P44" s="55">
        <f>IFERROR(Inv_SY!P46/Inv_SY!$Y46-1,"")</f>
        <v>0.3127955475180999</v>
      </c>
      <c r="Q44" s="55">
        <f>IFERROR(Inv_SY!Q46/Inv_SY!$Y46-1,"")</f>
        <v>-1</v>
      </c>
      <c r="R44" s="55">
        <f>IFERROR(Inv_SY!R46/Inv_SY!$Y46-1,"")</f>
        <v>3.8891070661668525E-3</v>
      </c>
      <c r="S44" s="55">
        <f>IFERROR(Inv_SY!S46/Inv_SY!$Y46-1,"")</f>
        <v>2.3510930193436641E-2</v>
      </c>
      <c r="T44" s="55">
        <f>IFERROR(Inv_SY!T46/Inv_SY!$Y46-1,"")</f>
        <v>2.0170340210846405E-2</v>
      </c>
      <c r="U44" s="55">
        <f>IFERROR(Inv_SY!U46/Inv_SY!$Y46-1,"")</f>
        <v>-1.6065802426567299E-2</v>
      </c>
      <c r="V44" s="55">
        <f>IFERROR(Inv_SY!J46/Inv_SY!$Z46-1,"")</f>
        <v>0.34939281783325482</v>
      </c>
      <c r="W44" s="55">
        <f>IFERROR(Inv_SY!K46/Inv_SY!$Z46-1,"")</f>
        <v>0.31934881027736362</v>
      </c>
      <c r="X44" s="55">
        <f>IFERROR(Inv_SY!L46/Inv_SY!$Z46-1,"")</f>
        <v>-1</v>
      </c>
      <c r="Y44" s="55">
        <f>IFERROR(Inv_SY!M46/Inv_SY!$Z46-1,"")</f>
        <v>0.29833603093642025</v>
      </c>
      <c r="Z44" s="55">
        <f>IFERROR(Inv_SY!N46/Inv_SY!$Z46-1,"")</f>
        <v>0.34123316796563619</v>
      </c>
      <c r="AA44" s="55">
        <f>IFERROR(Inv_SY!O46/Inv_SY!$Z46-1,"")</f>
        <v>0.30203974795890587</v>
      </c>
      <c r="AB44" s="55">
        <f>IFERROR(Inv_SY!P46/Inv_SY!$Z46-1,"")</f>
        <v>0.30379304167775301</v>
      </c>
      <c r="AC44" s="55">
        <f>IFERROR(Inv_SY!Q46/Inv_SY!$Z46-1,"")</f>
        <v>-1</v>
      </c>
      <c r="AD44" s="55">
        <f>IFERROR(Inv_SY!R46/Inv_SY!$Z46-1,"")</f>
        <v>-2.995070417912693E-3</v>
      </c>
      <c r="AE44" s="55">
        <f>IFERROR(Inv_SY!S46/Inv_SY!$Z46-1,"")</f>
        <v>1.6492195902217288E-2</v>
      </c>
      <c r="AF44" s="55">
        <f>IFERROR(Inv_SY!T46/Inv_SY!$Z46-1,"")</f>
        <v>1.31745140418289E-2</v>
      </c>
      <c r="AG44" s="55">
        <f>IFERROR(Inv_SY!U46/Inv_SY!$Z46-1,"")</f>
        <v>-2.2813138961123802E-2</v>
      </c>
      <c r="AH44" s="55">
        <f>IFERROR(Inv_SY!V46/Inv_SY!$Y46-1,"")</f>
        <v>-2.1465875222068664E-3</v>
      </c>
      <c r="AI44" s="55">
        <f>IFERROR(Inv_SY!W46/Inv_SY!$Y46-1,"")</f>
        <v>-4.7582704978682555E-3</v>
      </c>
      <c r="AJ44" s="55">
        <f>IFERROR(Inv_SY!X46/Inv_SY!$Y46-1,"")</f>
        <v>6.904858020075233E-3</v>
      </c>
      <c r="AK44" s="55">
        <f>IFERROR(Inv_SY!V46/Inv_SY!$Z46-1,"")</f>
        <v>-8.9893751829546176E-3</v>
      </c>
      <c r="AL44" s="55">
        <f>IFERROR(Inv_SY!W46/Inv_SY!$Z46-1,"")</f>
        <v>-1.1583148521973841E-2</v>
      </c>
      <c r="AM44" s="55">
        <f>IFERROR(Inv_SY!X46/Inv_SY!$Z46-1,"")</f>
        <v>0</v>
      </c>
    </row>
    <row r="45" spans="1:39" x14ac:dyDescent="0.3">
      <c r="A45" s="273">
        <f>YEAR(Table5[[#This Row],[Date]])+IF(MONTH(Table5[[#This Row],[Date]])&gt;=4,1,0)</f>
        <v>2026</v>
      </c>
      <c r="B45" s="273"/>
      <c r="C45" s="273">
        <f>YEAR(Table5[[#This Row],[Date]])</f>
        <v>2025</v>
      </c>
      <c r="D45" s="273"/>
      <c r="E45" s="273"/>
      <c r="F45" s="274" t="str">
        <f>TEXT(Table5[[#This Row],[Date]],"mmm-yy")</f>
        <v>May-25</v>
      </c>
      <c r="G45" s="273">
        <f t="shared" ref="G45:G108" si="5">DAY(EOMONTH(F45,0))</f>
        <v>31</v>
      </c>
      <c r="H45" s="275">
        <f t="shared" ref="H45:H108" si="6">H44+1</f>
        <v>45788</v>
      </c>
      <c r="I45" s="273">
        <v>8.02</v>
      </c>
      <c r="J45" s="55">
        <f>IFERROR(Inv_SY!J47/Inv_SY!$Y47-1,"")</f>
        <v>0.36024689354009509</v>
      </c>
      <c r="K45" s="55">
        <f>IFERROR(Inv_SY!K47/Inv_SY!$Y47-1,"")</f>
        <v>0.38150623272318951</v>
      </c>
      <c r="L45" s="55">
        <f>IFERROR(Inv_SY!L47/Inv_SY!$Y47-1,"")</f>
        <v>-1</v>
      </c>
      <c r="M45" s="55">
        <f>IFERROR(Inv_SY!M47/Inv_SY!$Y47-1,"")</f>
        <v>0.33837947644857347</v>
      </c>
      <c r="N45" s="55">
        <f>IFERROR(Inv_SY!N47/Inv_SY!$Y47-1,"")</f>
        <v>0.3119817639182263</v>
      </c>
      <c r="O45" s="55">
        <f>IFERROR(Inv_SY!O47/Inv_SY!$Y47-1,"")</f>
        <v>0.28092493238207283</v>
      </c>
      <c r="P45" s="55">
        <f>IFERROR(Inv_SY!P47/Inv_SY!$Y47-1,"")</f>
        <v>0.28288604114727178</v>
      </c>
      <c r="Q45" s="55">
        <f>IFERROR(Inv_SY!Q47/Inv_SY!$Y47-1,"")</f>
        <v>-1</v>
      </c>
      <c r="R45" s="55">
        <f>IFERROR(Inv_SY!R47/Inv_SY!$Y47-1,"")</f>
        <v>9.7887186705623019E-3</v>
      </c>
      <c r="S45" s="55">
        <f>IFERROR(Inv_SY!S47/Inv_SY!$Y47-1,"")</f>
        <v>2.9139840501113623E-2</v>
      </c>
      <c r="T45" s="55">
        <f>IFERROR(Inv_SY!T47/Inv_SY!$Y47-1,"")</f>
        <v>-3.473420433793728E-3</v>
      </c>
      <c r="U45" s="55">
        <f>IFERROR(Inv_SY!U47/Inv_SY!$Y47-1,"")</f>
        <v>9.2038042429991584E-3</v>
      </c>
      <c r="V45" s="55">
        <f>IFERROR(Inv_SY!J47/Inv_SY!$Z47-1,"")</f>
        <v>0.33453712491585086</v>
      </c>
      <c r="W45" s="55">
        <f>IFERROR(Inv_SY!K47/Inv_SY!$Z47-1,"")</f>
        <v>0.35539464535993726</v>
      </c>
      <c r="X45" s="55">
        <f>IFERROR(Inv_SY!L47/Inv_SY!$Z47-1,"")</f>
        <v>-1</v>
      </c>
      <c r="Y45" s="55">
        <f>IFERROR(Inv_SY!M47/Inv_SY!$Z47-1,"")</f>
        <v>0.31308301972858921</v>
      </c>
      <c r="Z45" s="55">
        <f>IFERROR(Inv_SY!N47/Inv_SY!$Z47-1,"")</f>
        <v>0.28718424535762144</v>
      </c>
      <c r="AA45" s="55">
        <f>IFERROR(Inv_SY!O47/Inv_SY!$Z47-1,"")</f>
        <v>0.25671441310578058</v>
      </c>
      <c r="AB45" s="55">
        <f>IFERROR(Inv_SY!P47/Inv_SY!$Z47-1,"")</f>
        <v>0.25863845532604612</v>
      </c>
      <c r="AC45" s="55">
        <f>IFERROR(Inv_SY!Q47/Inv_SY!$Z47-1,"")</f>
        <v>-1</v>
      </c>
      <c r="AD45" s="55">
        <f>IFERROR(Inv_SY!R47/Inv_SY!$Z47-1,"")</f>
        <v>-9.297106439338676E-3</v>
      </c>
      <c r="AE45" s="55">
        <f>IFERROR(Inv_SY!S47/Inv_SY!$Z47-1,"")</f>
        <v>9.6882635065764777E-3</v>
      </c>
      <c r="AF45" s="55">
        <f>IFERROR(Inv_SY!T47/Inv_SY!$Z47-1,"")</f>
        <v>-2.2308580367060293E-2</v>
      </c>
      <c r="AG45" s="55">
        <f>IFERROR(Inv_SY!U47/Inv_SY!$Z47-1,"")</f>
        <v>-9.8709655102096061E-3</v>
      </c>
      <c r="AH45" s="55">
        <f>IFERROR(Inv_SY!V47/Inv_SY!$Y47-1,"")</f>
        <v>1.9264933244824922E-2</v>
      </c>
      <c r="AI45" s="55">
        <f>IFERROR(Inv_SY!W47/Inv_SY!$Y47-1,"")</f>
        <v>-2.9431254587783506E-2</v>
      </c>
      <c r="AJ45" s="55">
        <f>IFERROR(Inv_SY!X47/Inv_SY!$Y47-1,"")</f>
        <v>1.0166321342958806E-2</v>
      </c>
      <c r="AK45" s="55">
        <f>IFERROR(Inv_SY!V47/Inv_SY!$Z47-1,"")</f>
        <v>0</v>
      </c>
      <c r="AL45" s="55">
        <f>IFERROR(Inv_SY!W47/Inv_SY!$Z47-1,"")</f>
        <v>-4.7775790419458675E-2</v>
      </c>
      <c r="AM45" s="55">
        <f>IFERROR(Inv_SY!X47/Inv_SY!$Z47-1,"")</f>
        <v>-8.9266407634573941E-3</v>
      </c>
    </row>
    <row r="46" spans="1:39" x14ac:dyDescent="0.3">
      <c r="A46" s="273">
        <f>YEAR(Table5[[#This Row],[Date]])+IF(MONTH(Table5[[#This Row],[Date]])&gt;=4,1,0)</f>
        <v>2026</v>
      </c>
      <c r="B46" s="273"/>
      <c r="C46" s="273">
        <f>YEAR(Table5[[#This Row],[Date]])</f>
        <v>2025</v>
      </c>
      <c r="D46" s="273"/>
      <c r="E46" s="273"/>
      <c r="F46" s="274" t="str">
        <f>TEXT(Table5[[#This Row],[Date]],"mmm-yy")</f>
        <v>May-25</v>
      </c>
      <c r="G46" s="273">
        <f t="shared" si="5"/>
        <v>31</v>
      </c>
      <c r="H46" s="275">
        <f t="shared" si="6"/>
        <v>45789</v>
      </c>
      <c r="I46" s="273">
        <v>8.02</v>
      </c>
      <c r="J46" s="55">
        <f>IFERROR(Inv_SY!J48/Inv_SY!$Y48-1,"")</f>
        <v>0.34193439660506142</v>
      </c>
      <c r="K46" s="55">
        <f>IFERROR(Inv_SY!K48/Inv_SY!$Y48-1,"")</f>
        <v>0.34268341111533429</v>
      </c>
      <c r="L46" s="55">
        <f>IFERROR(Inv_SY!L48/Inv_SY!$Y48-1,"")</f>
        <v>-1</v>
      </c>
      <c r="M46" s="55">
        <f>IFERROR(Inv_SY!M48/Inv_SY!$Y48-1,"")</f>
        <v>0.34121439154566269</v>
      </c>
      <c r="N46" s="55">
        <f>IFERROR(Inv_SY!N48/Inv_SY!$Y48-1,"")</f>
        <v>0.3110691048971439</v>
      </c>
      <c r="O46" s="55">
        <f>IFERROR(Inv_SY!O48/Inv_SY!$Y48-1,"")</f>
        <v>0.30217719755682793</v>
      </c>
      <c r="P46" s="55">
        <f>IFERROR(Inv_SY!P48/Inv_SY!$Y48-1,"")</f>
        <v>0.3258686493060261</v>
      </c>
      <c r="Q46" s="55">
        <f>IFERROR(Inv_SY!Q48/Inv_SY!$Y48-1,"")</f>
        <v>-1</v>
      </c>
      <c r="R46" s="55">
        <f>IFERROR(Inv_SY!R48/Inv_SY!$Y48-1,"")</f>
        <v>8.4557961026778816E-3</v>
      </c>
      <c r="S46" s="55">
        <f>IFERROR(Inv_SY!S48/Inv_SY!$Y48-1,"")</f>
        <v>4.706699610326659E-2</v>
      </c>
      <c r="T46" s="55">
        <f>IFERROR(Inv_SY!T48/Inv_SY!$Y48-1,"")</f>
        <v>-6.2419651649956442E-3</v>
      </c>
      <c r="U46" s="55">
        <f>IFERROR(Inv_SY!U48/Inv_SY!$Y48-1,"")</f>
        <v>-1.3558120025741194E-2</v>
      </c>
      <c r="V46" s="55">
        <f>IFERROR(Inv_SY!J48/Inv_SY!$Z48-1,"")</f>
        <v>0.33155966150568128</v>
      </c>
      <c r="W46" s="55">
        <f>IFERROR(Inv_SY!K48/Inv_SY!$Z48-1,"")</f>
        <v>0.33230288525066087</v>
      </c>
      <c r="X46" s="55">
        <f>IFERROR(Inv_SY!L48/Inv_SY!$Z48-1,"")</f>
        <v>-1</v>
      </c>
      <c r="Y46" s="55">
        <f>IFERROR(Inv_SY!M48/Inv_SY!$Z48-1,"")</f>
        <v>0.33084522293431684</v>
      </c>
      <c r="Z46" s="55">
        <f>IFERROR(Inv_SY!N48/Inv_SY!$Z48-1,"")</f>
        <v>0.30093299489452319</v>
      </c>
      <c r="AA46" s="55">
        <f>IFERROR(Inv_SY!O48/Inv_SY!$Z48-1,"")</f>
        <v>0.29210983248199018</v>
      </c>
      <c r="AB46" s="55">
        <f>IFERROR(Inv_SY!P48/Inv_SY!$Z48-1,"")</f>
        <v>0.31561812137565726</v>
      </c>
      <c r="AC46" s="55">
        <f>IFERROR(Inv_SY!Q48/Inv_SY!$Z48-1,"")</f>
        <v>-1</v>
      </c>
      <c r="AD46" s="55">
        <f>IFERROR(Inv_SY!R48/Inv_SY!$Z48-1,"")</f>
        <v>6.5924377458448369E-4</v>
      </c>
      <c r="AE46" s="55">
        <f>IFERROR(Inv_SY!S48/Inv_SY!$Z48-1,"")</f>
        <v>3.8971933674464276E-2</v>
      </c>
      <c r="AF46" s="55">
        <f>IFERROR(Inv_SY!T48/Inv_SY!$Z48-1,"")</f>
        <v>-1.3924886469030229E-2</v>
      </c>
      <c r="AG46" s="55">
        <f>IFERROR(Inv_SY!U48/Inv_SY!$Z48-1,"")</f>
        <v>-2.1184478826557718E-2</v>
      </c>
      <c r="AH46" s="55">
        <f>IFERROR(Inv_SY!V48/Inv_SY!$Y48-1,"")</f>
        <v>5.782808601367817E-3</v>
      </c>
      <c r="AI46" s="55">
        <f>IFERROR(Inv_SY!W48/Inv_SY!$Y48-1,"")</f>
        <v>-1.3574224487043374E-2</v>
      </c>
      <c r="AJ46" s="55">
        <f>IFERROR(Inv_SY!X48/Inv_SY!$Y48-1,"")</f>
        <v>7.7914158856755567E-3</v>
      </c>
      <c r="AK46" s="55">
        <f>IFERROR(Inv_SY!V48/Inv_SY!$Z48-1,"")</f>
        <v>-1.9930783817428965E-3</v>
      </c>
      <c r="AL46" s="55">
        <f>IFERROR(Inv_SY!W48/Inv_SY!$Z48-1,"")</f>
        <v>-2.1200458781385989E-2</v>
      </c>
      <c r="AM46" s="55">
        <f>IFERROR(Inv_SY!X48/Inv_SY!$Z48-1,"")</f>
        <v>0</v>
      </c>
    </row>
    <row r="47" spans="1:39" x14ac:dyDescent="0.3">
      <c r="A47" s="273">
        <f>YEAR(Table5[[#This Row],[Date]])+IF(MONTH(Table5[[#This Row],[Date]])&gt;=4,1,0)</f>
        <v>2026</v>
      </c>
      <c r="B47" s="273"/>
      <c r="C47" s="273">
        <f>YEAR(Table5[[#This Row],[Date]])</f>
        <v>2025</v>
      </c>
      <c r="D47" s="273"/>
      <c r="E47" s="273"/>
      <c r="F47" s="274" t="str">
        <f>TEXT(Table5[[#This Row],[Date]],"mmm-yy")</f>
        <v>May-25</v>
      </c>
      <c r="G47" s="273">
        <f t="shared" si="5"/>
        <v>31</v>
      </c>
      <c r="H47" s="275">
        <f t="shared" si="6"/>
        <v>45790</v>
      </c>
      <c r="I47" s="273">
        <v>8.02</v>
      </c>
      <c r="J47" s="55">
        <f>IFERROR(Inv_SY!J49/Inv_SY!$Y49-1,"")</f>
        <v>0.35793099613818002</v>
      </c>
      <c r="K47" s="55">
        <f>IFERROR(Inv_SY!K49/Inv_SY!$Y49-1,"")</f>
        <v>0.33591438630610404</v>
      </c>
      <c r="L47" s="55">
        <f>IFERROR(Inv_SY!L49/Inv_SY!$Y49-1,"")</f>
        <v>-1</v>
      </c>
      <c r="M47" s="55">
        <f>IFERROR(Inv_SY!M49/Inv_SY!$Y49-1,"")</f>
        <v>0.3147093960472771</v>
      </c>
      <c r="N47" s="55">
        <f>IFERROR(Inv_SY!N49/Inv_SY!$Y49-1,"")</f>
        <v>0.3392363858847196</v>
      </c>
      <c r="O47" s="55">
        <f>IFERROR(Inv_SY!O49/Inv_SY!$Y49-1,"")</f>
        <v>0.30678547038686221</v>
      </c>
      <c r="P47" s="55">
        <f>IFERROR(Inv_SY!P49/Inv_SY!$Y49-1,"")</f>
        <v>0.30880711710960762</v>
      </c>
      <c r="Q47" s="55">
        <f>IFERROR(Inv_SY!Q49/Inv_SY!$Y49-1,"")</f>
        <v>-1</v>
      </c>
      <c r="R47" s="55">
        <f>IFERROR(Inv_SY!R49/Inv_SY!$Y49-1,"")</f>
        <v>7.8325839695063681E-3</v>
      </c>
      <c r="S47" s="55">
        <f>IFERROR(Inv_SY!S49/Inv_SY!$Y49-1,"")</f>
        <v>2.6451248766320434E-2</v>
      </c>
      <c r="T47" s="55">
        <f>IFERROR(Inv_SY!T49/Inv_SY!$Y49-1,"")</f>
        <v>1.5653008633584431E-2</v>
      </c>
      <c r="U47" s="55">
        <f>IFERROR(Inv_SY!U49/Inv_SY!$Y49-1,"")</f>
        <v>-1.2947898950452119E-2</v>
      </c>
      <c r="V47" s="55">
        <f>IFERROR(Inv_SY!J49/Inv_SY!$Z49-1,"")</f>
        <v>0.34681177249142325</v>
      </c>
      <c r="W47" s="55">
        <f>IFERROR(Inv_SY!K49/Inv_SY!$Z49-1,"")</f>
        <v>0.32497544251845811</v>
      </c>
      <c r="X47" s="55">
        <f>IFERROR(Inv_SY!L49/Inv_SY!$Z49-1,"")</f>
        <v>-1</v>
      </c>
      <c r="Y47" s="55">
        <f>IFERROR(Inv_SY!M49/Inv_SY!$Z49-1,"")</f>
        <v>0.30394408628800651</v>
      </c>
      <c r="Z47" s="55">
        <f>IFERROR(Inv_SY!N49/Inv_SY!$Z49-1,"")</f>
        <v>0.32827024037889063</v>
      </c>
      <c r="AA47" s="55">
        <f>IFERROR(Inv_SY!O49/Inv_SY!$Z49-1,"")</f>
        <v>0.29608504455897644</v>
      </c>
      <c r="AB47" s="55">
        <f>IFERROR(Inv_SY!P49/Inv_SY!$Z49-1,"")</f>
        <v>0.29809013731682299</v>
      </c>
      <c r="AC47" s="55">
        <f>IFERROR(Inv_SY!Q49/Inv_SY!$Z49-1,"")</f>
        <v>-1</v>
      </c>
      <c r="AD47" s="55">
        <f>IFERROR(Inv_SY!R49/Inv_SY!$Z49-1,"")</f>
        <v>-4.1990892705123795E-4</v>
      </c>
      <c r="AE47" s="55">
        <f>IFERROR(Inv_SY!S49/Inv_SY!$Z49-1,"")</f>
        <v>1.8046299597339166E-2</v>
      </c>
      <c r="AF47" s="55">
        <f>IFERROR(Inv_SY!T49/Inv_SY!$Z49-1,"")</f>
        <v>7.3364793087400404E-3</v>
      </c>
      <c r="AG47" s="55">
        <f>IFERROR(Inv_SY!U49/Inv_SY!$Z49-1,"")</f>
        <v>-2.1030233836233259E-2</v>
      </c>
      <c r="AH47" s="55">
        <f>IFERROR(Inv_SY!V49/Inv_SY!$Y49-1,"")</f>
        <v>1.3831890281528203E-3</v>
      </c>
      <c r="AI47" s="55">
        <f>IFERROR(Inv_SY!W49/Inv_SY!$Y49-1,"")</f>
        <v>-9.6391486758677924E-3</v>
      </c>
      <c r="AJ47" s="55">
        <f>IFERROR(Inv_SY!X49/Inv_SY!$Y49-1,"")</f>
        <v>8.2559596477151942E-3</v>
      </c>
      <c r="AK47" s="55">
        <f>IFERROR(Inv_SY!V49/Inv_SY!$Z49-1,"")</f>
        <v>-6.8164939208131825E-3</v>
      </c>
      <c r="AL47" s="55">
        <f>IFERROR(Inv_SY!W49/Inv_SY!$Z49-1,"")</f>
        <v>-1.7748576789801906E-2</v>
      </c>
      <c r="AM47" s="55">
        <f>IFERROR(Inv_SY!X49/Inv_SY!$Z49-1,"")</f>
        <v>0</v>
      </c>
    </row>
    <row r="48" spans="1:39" x14ac:dyDescent="0.3">
      <c r="A48" s="273">
        <f>YEAR(Table5[[#This Row],[Date]])+IF(MONTH(Table5[[#This Row],[Date]])&gt;=4,1,0)</f>
        <v>2026</v>
      </c>
      <c r="B48" s="273"/>
      <c r="C48" s="273">
        <f>YEAR(Table5[[#This Row],[Date]])</f>
        <v>2025</v>
      </c>
      <c r="D48" s="273"/>
      <c r="E48" s="273"/>
      <c r="F48" s="274" t="str">
        <f>TEXT(Table5[[#This Row],[Date]],"mmm-yy")</f>
        <v>May-25</v>
      </c>
      <c r="G48" s="273">
        <f t="shared" si="5"/>
        <v>31</v>
      </c>
      <c r="H48" s="275">
        <f t="shared" si="6"/>
        <v>45791</v>
      </c>
      <c r="I48" s="273">
        <v>8.02</v>
      </c>
      <c r="J48" s="55">
        <f>IFERROR(Inv_SY!J50/Inv_SY!$Y50-1,"")</f>
        <v>0.33364683290662489</v>
      </c>
      <c r="K48" s="55">
        <f>IFERROR(Inv_SY!K50/Inv_SY!$Y50-1,"")</f>
        <v>0.35752635560457735</v>
      </c>
      <c r="L48" s="55">
        <f>IFERROR(Inv_SY!L50/Inv_SY!$Y50-1,"")</f>
        <v>-1</v>
      </c>
      <c r="M48" s="55">
        <f>IFERROR(Inv_SY!M50/Inv_SY!$Y50-1,"")</f>
        <v>0.31275350104459121</v>
      </c>
      <c r="N48" s="55">
        <f>IFERROR(Inv_SY!N50/Inv_SY!$Y50-1,"")</f>
        <v>0.33066949806132206</v>
      </c>
      <c r="O48" s="55">
        <f>IFERROR(Inv_SY!O50/Inv_SY!$Y50-1,"")</f>
        <v>0.29504594780699933</v>
      </c>
      <c r="P48" s="55">
        <f>IFERROR(Inv_SY!P50/Inv_SY!$Y50-1,"")</f>
        <v>0.29739475331827347</v>
      </c>
      <c r="Q48" s="55">
        <f>IFERROR(Inv_SY!Q50/Inv_SY!$Y50-1,"")</f>
        <v>-1</v>
      </c>
      <c r="R48" s="55">
        <f>IFERROR(Inv_SY!R50/Inv_SY!$Y50-1,"")</f>
        <v>1.5909305308397403E-2</v>
      </c>
      <c r="S48" s="55">
        <f>IFERROR(Inv_SY!S50/Inv_SY!$Y50-1,"")</f>
        <v>3.4783256061525991E-2</v>
      </c>
      <c r="T48" s="55">
        <f>IFERROR(Inv_SY!T50/Inv_SY!$Y50-1,"")</f>
        <v>3.5743195746233969E-3</v>
      </c>
      <c r="U48" s="55">
        <f>IFERROR(Inv_SY!U50/Inv_SY!$Y50-1,"")</f>
        <v>1.9123188245074196E-2</v>
      </c>
      <c r="V48" s="55">
        <f>IFERROR(Inv_SY!J50/Inv_SY!$Z50-1,"")</f>
        <v>0.31089388241772542</v>
      </c>
      <c r="W48" s="55">
        <f>IFERROR(Inv_SY!K50/Inv_SY!$Z50-1,"")</f>
        <v>0.33436600370756975</v>
      </c>
      <c r="X48" s="55">
        <f>IFERROR(Inv_SY!L50/Inv_SY!$Z50-1,"")</f>
        <v>-1</v>
      </c>
      <c r="Y48" s="55">
        <f>IFERROR(Inv_SY!M50/Inv_SY!$Z50-1,"")</f>
        <v>0.29035700545340171</v>
      </c>
      <c r="Z48" s="55">
        <f>IFERROR(Inv_SY!N50/Inv_SY!$Z50-1,"")</f>
        <v>0.30796734299340867</v>
      </c>
      <c r="AA48" s="55">
        <f>IFERROR(Inv_SY!O50/Inv_SY!$Z50-1,"")</f>
        <v>0.27295155549544381</v>
      </c>
      <c r="AB48" s="55">
        <f>IFERROR(Inv_SY!P50/Inv_SY!$Z50-1,"")</f>
        <v>0.27526028873706809</v>
      </c>
      <c r="AC48" s="55">
        <f>IFERROR(Inv_SY!Q50/Inv_SY!$Z50-1,"")</f>
        <v>-1</v>
      </c>
      <c r="AD48" s="55">
        <f>IFERROR(Inv_SY!R50/Inv_SY!$Z50-1,"")</f>
        <v>-1.4228200748392927E-3</v>
      </c>
      <c r="AE48" s="55">
        <f>IFERROR(Inv_SY!S50/Inv_SY!$Z50-1,"")</f>
        <v>1.7129127838841907E-2</v>
      </c>
      <c r="AF48" s="55">
        <f>IFERROR(Inv_SY!T50/Inv_SY!$Z50-1,"")</f>
        <v>-1.3547362299314636E-2</v>
      </c>
      <c r="AG48" s="55">
        <f>IFERROR(Inv_SY!U50/Inv_SY!$Z50-1,"")</f>
        <v>1.7362317644802339E-3</v>
      </c>
      <c r="AH48" s="55">
        <f>IFERROR(Inv_SY!V50/Inv_SY!$Y50-1,"")</f>
        <v>2.2528358117757108E-4</v>
      </c>
      <c r="AI48" s="55">
        <f>IFERROR(Inv_SY!W50/Inv_SY!$Y50-1,"")</f>
        <v>-1.7582104597792081E-2</v>
      </c>
      <c r="AJ48" s="55">
        <f>IFERROR(Inv_SY!X50/Inv_SY!$Y50-1,"")</f>
        <v>1.7356821016614621E-2</v>
      </c>
      <c r="AK48" s="55">
        <f>IFERROR(Inv_SY!V50/Inv_SY!$Z50-1,"")</f>
        <v>-1.6839261389448468E-2</v>
      </c>
      <c r="AL48" s="55">
        <f>IFERROR(Inv_SY!W50/Inv_SY!$Z50-1,"")</f>
        <v>-3.4342843034652515E-2</v>
      </c>
      <c r="AM48" s="55">
        <f>IFERROR(Inv_SY!X50/Inv_SY!$Z50-1,"")</f>
        <v>0</v>
      </c>
    </row>
    <row r="49" spans="1:39" x14ac:dyDescent="0.3">
      <c r="A49" s="273">
        <f>YEAR(Table5[[#This Row],[Date]])+IF(MONTH(Table5[[#This Row],[Date]])&gt;=4,1,0)</f>
        <v>2026</v>
      </c>
      <c r="B49" s="273"/>
      <c r="C49" s="273">
        <f>YEAR(Table5[[#This Row],[Date]])</f>
        <v>2025</v>
      </c>
      <c r="D49" s="273"/>
      <c r="E49" s="273"/>
      <c r="F49" s="274" t="str">
        <f>TEXT(Table5[[#This Row],[Date]],"mmm-yy")</f>
        <v>May-25</v>
      </c>
      <c r="G49" s="273">
        <f t="shared" si="5"/>
        <v>31</v>
      </c>
      <c r="H49" s="275">
        <f t="shared" si="6"/>
        <v>45792</v>
      </c>
      <c r="I49" s="273">
        <v>8.02</v>
      </c>
      <c r="J49" s="55">
        <f>IFERROR(Inv_SY!J51/Inv_SY!$Y51-1,"")</f>
        <v>0.42784244866286492</v>
      </c>
      <c r="K49" s="55">
        <f>IFERROR(Inv_SY!K51/Inv_SY!$Y51-1,"")</f>
        <v>0.42765346395687409</v>
      </c>
      <c r="L49" s="55">
        <f>IFERROR(Inv_SY!L51/Inv_SY!$Y51-1,"")</f>
        <v>-1</v>
      </c>
      <c r="M49" s="55">
        <f>IFERROR(Inv_SY!M51/Inv_SY!$Y51-1,"")</f>
        <v>0.47002503494291781</v>
      </c>
      <c r="N49" s="55">
        <f>IFERROR(Inv_SY!N51/Inv_SY!$Y51-1,"")</f>
        <v>0.29879997368039191</v>
      </c>
      <c r="O49" s="55">
        <f>IFERROR(Inv_SY!O51/Inv_SY!$Y51-1,"")</f>
        <v>0.29041235738499482</v>
      </c>
      <c r="P49" s="55">
        <f>IFERROR(Inv_SY!P51/Inv_SY!$Y51-1,"")</f>
        <v>0.29182096470177887</v>
      </c>
      <c r="Q49" s="55">
        <f>IFERROR(Inv_SY!Q51/Inv_SY!$Y51-1,"")</f>
        <v>-1</v>
      </c>
      <c r="R49" s="55">
        <f>IFERROR(Inv_SY!R51/Inv_SY!$Y51-1,"")</f>
        <v>-6.5524306203317173E-2</v>
      </c>
      <c r="S49" s="55">
        <f>IFERROR(Inv_SY!S51/Inv_SY!$Y51-1,"")</f>
        <v>-4.6626168603134732E-2</v>
      </c>
      <c r="T49" s="55">
        <f>IFERROR(Inv_SY!T51/Inv_SY!$Y51-1,"")</f>
        <v>-1.2703477787751272E-2</v>
      </c>
      <c r="U49" s="55">
        <f>IFERROR(Inv_SY!U51/Inv_SY!$Y51-1,"")</f>
        <v>-8.2484754880719824E-2</v>
      </c>
      <c r="V49" s="55">
        <f>IFERROR(Inv_SY!J51/Inv_SY!$Z51-1,"")</f>
        <v>0.32113339852756972</v>
      </c>
      <c r="W49" s="55">
        <f>IFERROR(Inv_SY!K51/Inv_SY!$Z51-1,"")</f>
        <v>0.32095853749361658</v>
      </c>
      <c r="X49" s="55">
        <f>IFERROR(Inv_SY!L51/Inv_SY!$Z51-1,"")</f>
        <v>-1</v>
      </c>
      <c r="Y49" s="55">
        <f>IFERROR(Inv_SY!M51/Inv_SY!$Z51-1,"")</f>
        <v>0.36016349153470584</v>
      </c>
      <c r="Z49" s="55">
        <f>IFERROR(Inv_SY!N51/Inv_SY!$Z51-1,"")</f>
        <v>0.2017348446551479</v>
      </c>
      <c r="AA49" s="55">
        <f>IFERROR(Inv_SY!O51/Inv_SY!$Z51-1,"")</f>
        <v>0.19397407242690945</v>
      </c>
      <c r="AB49" s="55">
        <f>IFERROR(Inv_SY!P51/Inv_SY!$Z51-1,"")</f>
        <v>0.19527740822096451</v>
      </c>
      <c r="AC49" s="55">
        <f>IFERROR(Inv_SY!Q51/Inv_SY!$Z51-1,"")</f>
        <v>-1</v>
      </c>
      <c r="AD49" s="55">
        <f>IFERROR(Inv_SY!R51/Inv_SY!$Z51-1,"")</f>
        <v>-0.13536185288288771</v>
      </c>
      <c r="AE49" s="55">
        <f>IFERROR(Inv_SY!S51/Inv_SY!$Z51-1,"")</f>
        <v>-0.11787605759997566</v>
      </c>
      <c r="AF49" s="55">
        <f>IFERROR(Inv_SY!T51/Inv_SY!$Z51-1,"")</f>
        <v>-8.6488561139076214E-2</v>
      </c>
      <c r="AG49" s="55">
        <f>IFERROR(Inv_SY!U51/Inv_SY!$Z51-1,"")</f>
        <v>-0.15105477139971202</v>
      </c>
      <c r="AH49" s="55">
        <f>IFERROR(Inv_SY!V51/Inv_SY!$Y51-1,"")</f>
        <v>8.0770836808928381E-2</v>
      </c>
      <c r="AI49" s="55">
        <f>IFERROR(Inv_SY!W51/Inv_SY!$Y51-1,"")</f>
        <v>-2.81189238059113E-2</v>
      </c>
      <c r="AJ49" s="55">
        <f>IFERROR(Inv_SY!X51/Inv_SY!$Y51-1,"")</f>
        <v>-5.2651913003017081E-2</v>
      </c>
      <c r="AK49" s="55">
        <f>IFERROR(Inv_SY!V51/Inv_SY!$Z51-1,"")</f>
        <v>0</v>
      </c>
      <c r="AL49" s="55">
        <f>IFERROR(Inv_SY!W51/Inv_SY!$Z51-1,"")</f>
        <v>-0.10075194195315851</v>
      </c>
      <c r="AM49" s="55">
        <f>IFERROR(Inv_SY!X51/Inv_SY!$Z51-1,"")</f>
        <v>-0.12345147117948507</v>
      </c>
    </row>
    <row r="50" spans="1:39" x14ac:dyDescent="0.3">
      <c r="A50" s="273">
        <f>YEAR(Table5[[#This Row],[Date]])+IF(MONTH(Table5[[#This Row],[Date]])&gt;=4,1,0)</f>
        <v>2026</v>
      </c>
      <c r="B50" s="273"/>
      <c r="C50" s="273">
        <f>YEAR(Table5[[#This Row],[Date]])</f>
        <v>2025</v>
      </c>
      <c r="D50" s="273"/>
      <c r="E50" s="273"/>
      <c r="F50" s="274" t="str">
        <f>TEXT(Table5[[#This Row],[Date]],"mmm-yy")</f>
        <v>May-25</v>
      </c>
      <c r="G50" s="273">
        <f t="shared" si="5"/>
        <v>31</v>
      </c>
      <c r="H50" s="275">
        <f t="shared" si="6"/>
        <v>45793</v>
      </c>
      <c r="I50" s="273">
        <v>8.02</v>
      </c>
      <c r="J50" s="55">
        <f>IFERROR(Inv_SY!J52/Inv_SY!$Y52-1,"")</f>
        <v>5.3472412598689623E-2</v>
      </c>
      <c r="K50" s="55">
        <f>IFERROR(Inv_SY!K52/Inv_SY!$Y52-1,"")</f>
        <v>1.7896316481722074E-2</v>
      </c>
      <c r="L50" s="55">
        <f>IFERROR(Inv_SY!L52/Inv_SY!$Y52-1,"")</f>
        <v>-1</v>
      </c>
      <c r="M50" s="55">
        <f>IFERROR(Inv_SY!M52/Inv_SY!$Y52-1,"")</f>
        <v>1.9776751999016629E-3</v>
      </c>
      <c r="N50" s="55">
        <f>IFERROR(Inv_SY!N52/Inv_SY!$Y52-1,"")</f>
        <v>0.50793766068583945</v>
      </c>
      <c r="O50" s="55">
        <f>IFERROR(Inv_SY!O52/Inv_SY!$Y52-1,"")</f>
        <v>0.46237939167763908</v>
      </c>
      <c r="P50" s="55">
        <f>IFERROR(Inv_SY!P52/Inv_SY!$Y52-1,"")</f>
        <v>0.46475991384203175</v>
      </c>
      <c r="Q50" s="55">
        <f>IFERROR(Inv_SY!Q52/Inv_SY!$Y52-1,"")</f>
        <v>-1</v>
      </c>
      <c r="R50" s="55">
        <f>IFERROR(Inv_SY!R52/Inv_SY!$Y52-1,"")</f>
        <v>0.11762730995891157</v>
      </c>
      <c r="S50" s="55">
        <f>IFERROR(Inv_SY!S52/Inv_SY!$Y52-1,"")</f>
        <v>0.14001375694338924</v>
      </c>
      <c r="T50" s="55">
        <f>IFERROR(Inv_SY!T52/Inv_SY!$Y52-1,"")</f>
        <v>0.10386030813593883</v>
      </c>
      <c r="U50" s="55">
        <f>IFERROR(Inv_SY!U52/Inv_SY!$Y52-1,"")</f>
        <v>0.12938722686741611</v>
      </c>
      <c r="V50" s="55">
        <f>IFERROR(Inv_SY!J52/Inv_SY!$Z52-1,"")</f>
        <v>-6.0777489344343127E-2</v>
      </c>
      <c r="W50" s="55">
        <f>IFERROR(Inv_SY!K52/Inv_SY!$Z52-1,"")</f>
        <v>-9.2495330186402214E-2</v>
      </c>
      <c r="X50" s="55">
        <f>IFERROR(Inv_SY!L52/Inv_SY!$Z52-1,"")</f>
        <v>-1</v>
      </c>
      <c r="Y50" s="55">
        <f>IFERROR(Inv_SY!M52/Inv_SY!$Z52-1,"")</f>
        <v>-0.10668758244866783</v>
      </c>
      <c r="Z50" s="55">
        <f>IFERROR(Inv_SY!N52/Inv_SY!$Z52-1,"")</f>
        <v>0.34440064936099479</v>
      </c>
      <c r="AA50" s="55">
        <f>IFERROR(Inv_SY!O52/Inv_SY!$Z52-1,"")</f>
        <v>0.30378321003626141</v>
      </c>
      <c r="AB50" s="55">
        <f>IFERROR(Inv_SY!P52/Inv_SY!$Z52-1,"")</f>
        <v>0.305905562721698</v>
      </c>
      <c r="AC50" s="55">
        <f>IFERROR(Inv_SY!Q52/Inv_SY!$Z52-1,"")</f>
        <v>-1</v>
      </c>
      <c r="AD50" s="55">
        <f>IFERROR(Inv_SY!R52/Inv_SY!$Z52-1,"")</f>
        <v>-3.5802404663342058E-3</v>
      </c>
      <c r="AE50" s="55">
        <f>IFERROR(Inv_SY!S52/Inv_SY!$Z52-1,"")</f>
        <v>1.6378378943123773E-2</v>
      </c>
      <c r="AF50" s="55">
        <f>IFERROR(Inv_SY!T52/Inv_SY!$Z52-1,"")</f>
        <v>-1.5854200241395944E-2</v>
      </c>
      <c r="AG50" s="55">
        <f>IFERROR(Inv_SY!U52/Inv_SY!$Z52-1,"")</f>
        <v>6.9043043132119841E-3</v>
      </c>
      <c r="AH50" s="55">
        <f>IFERROR(Inv_SY!V52/Inv_SY!$Y52-1,"")</f>
        <v>-0.23226671446661595</v>
      </c>
      <c r="AI50" s="55">
        <f>IFERROR(Inv_SY!W52/Inv_SY!$Y52-1,"")</f>
        <v>0.11062365262893015</v>
      </c>
      <c r="AJ50" s="55">
        <f>IFERROR(Inv_SY!X52/Inv_SY!$Y52-1,"")</f>
        <v>0.12164306183768603</v>
      </c>
      <c r="AK50" s="55">
        <f>IFERROR(Inv_SY!V52/Inv_SY!$Z52-1,"")</f>
        <v>-0.31552798599267451</v>
      </c>
      <c r="AL50" s="55">
        <f>IFERROR(Inv_SY!W52/Inv_SY!$Z52-1,"")</f>
        <v>-9.824345715384486E-3</v>
      </c>
      <c r="AM50" s="55">
        <f>IFERROR(Inv_SY!X52/Inv_SY!$Z52-1,"")</f>
        <v>0</v>
      </c>
    </row>
    <row r="51" spans="1:39" x14ac:dyDescent="0.3">
      <c r="A51" s="273">
        <f>YEAR(Table5[[#This Row],[Date]])+IF(MONTH(Table5[[#This Row],[Date]])&gt;=4,1,0)</f>
        <v>2026</v>
      </c>
      <c r="B51" s="273"/>
      <c r="C51" s="273">
        <f>YEAR(Table5[[#This Row],[Date]])</f>
        <v>2025</v>
      </c>
      <c r="D51" s="273"/>
      <c r="E51" s="273"/>
      <c r="F51" s="274" t="str">
        <f>TEXT(Table5[[#This Row],[Date]],"mmm-yy")</f>
        <v>May-25</v>
      </c>
      <c r="G51" s="273">
        <f t="shared" si="5"/>
        <v>31</v>
      </c>
      <c r="H51" s="275">
        <f t="shared" si="6"/>
        <v>45794</v>
      </c>
      <c r="I51" s="273">
        <v>8.02</v>
      </c>
      <c r="J51" s="55">
        <f>IFERROR(Inv_SY!J53/Inv_SY!$Y53-1,"")</f>
        <v>0.33131886520702714</v>
      </c>
      <c r="K51" s="55">
        <f>IFERROR(Inv_SY!K53/Inv_SY!$Y53-1,"")</f>
        <v>0.33183952178317377</v>
      </c>
      <c r="L51" s="55">
        <f>IFERROR(Inv_SY!L53/Inv_SY!$Y53-1,"")</f>
        <v>-1</v>
      </c>
      <c r="M51" s="55">
        <f>IFERROR(Inv_SY!M53/Inv_SY!$Y53-1,"")</f>
        <v>0.31150439963453413</v>
      </c>
      <c r="N51" s="55">
        <f>IFERROR(Inv_SY!N53/Inv_SY!$Y53-1,"")</f>
        <v>0.33492444248024911</v>
      </c>
      <c r="O51" s="55">
        <f>IFERROR(Inv_SY!O53/Inv_SY!$Y53-1,"")</f>
        <v>0.32623057506121933</v>
      </c>
      <c r="P51" s="55">
        <f>IFERROR(Inv_SY!P53/Inv_SY!$Y53-1,"")</f>
        <v>0.32834734278063515</v>
      </c>
      <c r="Q51" s="55">
        <f>IFERROR(Inv_SY!Q53/Inv_SY!$Y53-1,"")</f>
        <v>-1</v>
      </c>
      <c r="R51" s="55">
        <f>IFERROR(Inv_SY!R53/Inv_SY!$Y53-1,"")</f>
        <v>1.2571809142931656E-2</v>
      </c>
      <c r="S51" s="55">
        <f>IFERROR(Inv_SY!S53/Inv_SY!$Y53-1,"")</f>
        <v>3.1456348739624884E-2</v>
      </c>
      <c r="T51" s="55">
        <f>IFERROR(Inv_SY!T53/Inv_SY!$Y53-1,"")</f>
        <v>-3.4291755487347864E-4</v>
      </c>
      <c r="U51" s="55">
        <f>IFERROR(Inv_SY!U53/Inv_SY!$Y53-1,"")</f>
        <v>-7.4835868496021529E-3</v>
      </c>
      <c r="V51" s="55">
        <f>IFERROR(Inv_SY!J53/Inv_SY!$Z53-1,"")</f>
        <v>0.3207423355930632</v>
      </c>
      <c r="W51" s="55">
        <f>IFERROR(Inv_SY!K53/Inv_SY!$Z53-1,"")</f>
        <v>0.32125885586509795</v>
      </c>
      <c r="X51" s="55">
        <f>IFERROR(Inv_SY!L53/Inv_SY!$Z53-1,"")</f>
        <v>-1</v>
      </c>
      <c r="Y51" s="55">
        <f>IFERROR(Inv_SY!M53/Inv_SY!$Z53-1,"")</f>
        <v>0.30108528406117996</v>
      </c>
      <c r="Z51" s="55">
        <f>IFERROR(Inv_SY!N53/Inv_SY!$Z53-1,"")</f>
        <v>0.32431926871813821</v>
      </c>
      <c r="AA51" s="55">
        <f>IFERROR(Inv_SY!O53/Inv_SY!$Z53-1,"")</f>
        <v>0.31569446885957064</v>
      </c>
      <c r="AB51" s="55">
        <f>IFERROR(Inv_SY!P53/Inv_SY!$Z53-1,"")</f>
        <v>0.31779442012948267</v>
      </c>
      <c r="AC51" s="55">
        <f>IFERROR(Inv_SY!Q53/Inv_SY!$Z53-1,"")</f>
        <v>-1</v>
      </c>
      <c r="AD51" s="55">
        <f>IFERROR(Inv_SY!R53/Inv_SY!$Z53-1,"")</f>
        <v>4.5275336462422544E-3</v>
      </c>
      <c r="AE51" s="55">
        <f>IFERROR(Inv_SY!S53/Inv_SY!$Z53-1,"")</f>
        <v>2.3262046906262546E-2</v>
      </c>
      <c r="AF51" s="55">
        <f>IFERROR(Inv_SY!T53/Inv_SY!$Z53-1,"")</f>
        <v>-8.2845932965791569E-3</v>
      </c>
      <c r="AG51" s="55">
        <f>IFERROR(Inv_SY!U53/Inv_SY!$Z53-1,"")</f>
        <v>-1.5368534258049071E-2</v>
      </c>
      <c r="AH51" s="55">
        <f>IFERROR(Inv_SY!V53/Inv_SY!$Y53-1,"")</f>
        <v>-7.0517147480235742E-3</v>
      </c>
      <c r="AI51" s="55">
        <f>IFERROR(Inv_SY!W53/Inv_SY!$Y53-1,"")</f>
        <v>-9.5630417355885289E-4</v>
      </c>
      <c r="AJ51" s="55">
        <f>IFERROR(Inv_SY!X53/Inv_SY!$Y53-1,"")</f>
        <v>8.0080189215823161E-3</v>
      </c>
      <c r="AK51" s="55">
        <f>IFERROR(Inv_SY!V53/Inv_SY!$Z53-1,"")</f>
        <v>-1.4940093121201148E-2</v>
      </c>
      <c r="AL51" s="55">
        <f>IFERROR(Inv_SY!W53/Inv_SY!$Z53-1,"")</f>
        <v>-8.8931069266013907E-3</v>
      </c>
      <c r="AM51" s="55">
        <f>IFERROR(Inv_SY!X53/Inv_SY!$Z53-1,"")</f>
        <v>0</v>
      </c>
    </row>
    <row r="52" spans="1:39" x14ac:dyDescent="0.3">
      <c r="A52" s="273">
        <f>YEAR(Table5[[#This Row],[Date]])+IF(MONTH(Table5[[#This Row],[Date]])&gt;=4,1,0)</f>
        <v>2026</v>
      </c>
      <c r="B52" s="273"/>
      <c r="C52" s="273">
        <f>YEAR(Table5[[#This Row],[Date]])</f>
        <v>2025</v>
      </c>
      <c r="D52" s="273"/>
      <c r="E52" s="273"/>
      <c r="F52" s="274" t="str">
        <f>TEXT(Table5[[#This Row],[Date]],"mmm-yy")</f>
        <v>May-25</v>
      </c>
      <c r="G52" s="273">
        <f t="shared" si="5"/>
        <v>31</v>
      </c>
      <c r="H52" s="275">
        <f t="shared" si="6"/>
        <v>45795</v>
      </c>
      <c r="I52" s="273">
        <v>8.02</v>
      </c>
      <c r="J52" s="55">
        <f>IFERROR(Inv_SY!J54/Inv_SY!$Y54-1,"")</f>
        <v>0.32053178635360324</v>
      </c>
      <c r="K52" s="55">
        <f>IFERROR(Inv_SY!K54/Inv_SY!$Y54-1,"")</f>
        <v>0.32031285622779349</v>
      </c>
      <c r="L52" s="55">
        <f>IFERROR(Inv_SY!L54/Inv_SY!$Y54-1,"")</f>
        <v>-1</v>
      </c>
      <c r="M52" s="55">
        <f>IFERROR(Inv_SY!M54/Inv_SY!$Y54-1,"")</f>
        <v>0.38968503668828114</v>
      </c>
      <c r="N52" s="55">
        <f>IFERROR(Inv_SY!N54/Inv_SY!$Y54-1,"")</f>
        <v>0.37238682225905051</v>
      </c>
      <c r="O52" s="55">
        <f>IFERROR(Inv_SY!O54/Inv_SY!$Y54-1,"")</f>
        <v>0.27258698605585874</v>
      </c>
      <c r="P52" s="55">
        <f>IFERROR(Inv_SY!P54/Inv_SY!$Y54-1,"")</f>
        <v>0.2706955733295997</v>
      </c>
      <c r="Q52" s="55">
        <f>IFERROR(Inv_SY!Q54/Inv_SY!$Y54-1,"")</f>
        <v>-1</v>
      </c>
      <c r="R52" s="55">
        <f>IFERROR(Inv_SY!R54/Inv_SY!$Y54-1,"")</f>
        <v>-6.0889068157309323E-3</v>
      </c>
      <c r="S52" s="55">
        <f>IFERROR(Inv_SY!S54/Inv_SY!$Y54-1,"")</f>
        <v>1.2926646919946272E-2</v>
      </c>
      <c r="T52" s="55">
        <f>IFERROR(Inv_SY!T54/Inv_SY!$Y54-1,"")</f>
        <v>7.0947299599505076E-2</v>
      </c>
      <c r="U52" s="55">
        <f>IFERROR(Inv_SY!U54/Inv_SY!$Y54-1,"")</f>
        <v>-2.5304304521102772E-2</v>
      </c>
      <c r="V52" s="55">
        <f>IFERROR(Inv_SY!J54/Inv_SY!$Z54-1,"")</f>
        <v>0.30448527285809135</v>
      </c>
      <c r="W52" s="55">
        <f>IFERROR(Inv_SY!K54/Inv_SY!$Z54-1,"")</f>
        <v>0.30426900307355842</v>
      </c>
      <c r="X52" s="55">
        <f>IFERROR(Inv_SY!L54/Inv_SY!$Z54-1,"")</f>
        <v>-1</v>
      </c>
      <c r="Y52" s="55">
        <f>IFERROR(Inv_SY!M54/Inv_SY!$Z54-1,"")</f>
        <v>0.37279820372736827</v>
      </c>
      <c r="Z52" s="55">
        <f>IFERROR(Inv_SY!N54/Inv_SY!$Z54-1,"")</f>
        <v>0.35571018948730027</v>
      </c>
      <c r="AA52" s="55">
        <f>IFERROR(Inv_SY!O54/Inv_SY!$Z54-1,"")</f>
        <v>0.25712307639689813</v>
      </c>
      <c r="AB52" s="55">
        <f>IFERROR(Inv_SY!P54/Inv_SY!$Z54-1,"")</f>
        <v>0.25525464727478342</v>
      </c>
      <c r="AC52" s="55">
        <f>IFERROR(Inv_SY!Q54/Inv_SY!$Z54-1,"")</f>
        <v>-1</v>
      </c>
      <c r="AD52" s="55">
        <f>IFERROR(Inv_SY!R54/Inv_SY!$Z54-1,"")</f>
        <v>-1.8166471274939977E-2</v>
      </c>
      <c r="AE52" s="55">
        <f>IFERROR(Inv_SY!S54/Inv_SY!$Z54-1,"")</f>
        <v>6.1801393001514882E-4</v>
      </c>
      <c r="AF52" s="55">
        <f>IFERROR(Inv_SY!T54/Inv_SY!$Z54-1,"")</f>
        <v>5.7933625507298192E-2</v>
      </c>
      <c r="AG52" s="55">
        <f>IFERROR(Inv_SY!U54/Inv_SY!$Z54-1,"")</f>
        <v>-3.7148372034772836E-2</v>
      </c>
      <c r="AH52" s="55">
        <f>IFERROR(Inv_SY!V54/Inv_SY!$Y54-1,"")</f>
        <v>7.1443893844020945E-3</v>
      </c>
      <c r="AI52" s="55">
        <f>IFERROR(Inv_SY!W54/Inv_SY!$Y54-1,"")</f>
        <v>-1.9445420165956184E-2</v>
      </c>
      <c r="AJ52" s="55">
        <f>IFERROR(Inv_SY!X54/Inv_SY!$Y54-1,"")</f>
        <v>1.2301030781554312E-2</v>
      </c>
      <c r="AK52" s="55">
        <f>IFERROR(Inv_SY!V54/Inv_SY!$Z54-1,"")</f>
        <v>-5.093980190034042E-3</v>
      </c>
      <c r="AL52" s="55">
        <f>IFERROR(Inv_SY!W54/Inv_SY!$Z54-1,"")</f>
        <v>-3.1360682230068049E-2</v>
      </c>
      <c r="AM52" s="55">
        <f>IFERROR(Inv_SY!X54/Inv_SY!$Z54-1,"")</f>
        <v>0</v>
      </c>
    </row>
    <row r="53" spans="1:39" x14ac:dyDescent="0.3">
      <c r="A53" s="273">
        <f>YEAR(Table5[[#This Row],[Date]])+IF(MONTH(Table5[[#This Row],[Date]])&gt;=4,1,0)</f>
        <v>2026</v>
      </c>
      <c r="B53" s="273"/>
      <c r="C53" s="273">
        <f>YEAR(Table5[[#This Row],[Date]])</f>
        <v>2025</v>
      </c>
      <c r="D53" s="273"/>
      <c r="E53" s="273"/>
      <c r="F53" s="274" t="str">
        <f>TEXT(Table5[[#This Row],[Date]],"mmm-yy")</f>
        <v>May-25</v>
      </c>
      <c r="G53" s="273">
        <f t="shared" si="5"/>
        <v>31</v>
      </c>
      <c r="H53" s="275">
        <f t="shared" si="6"/>
        <v>45796</v>
      </c>
      <c r="I53" s="273">
        <v>8.02</v>
      </c>
      <c r="J53" s="55">
        <f>IFERROR(Inv_SY!J55/Inv_SY!$Y55-1,"")</f>
        <v>0.37140076619081897</v>
      </c>
      <c r="K53" s="55">
        <f>IFERROR(Inv_SY!K55/Inv_SY!$Y55-1,"")</f>
        <v>0.33572533058956089</v>
      </c>
      <c r="L53" s="55">
        <f>IFERROR(Inv_SY!L55/Inv_SY!$Y55-1,"")</f>
        <v>-1</v>
      </c>
      <c r="M53" s="55">
        <f>IFERROR(Inv_SY!M55/Inv_SY!$Y55-1,"")</f>
        <v>0.31584821513382821</v>
      </c>
      <c r="N53" s="55">
        <f>IFERROR(Inv_SY!N55/Inv_SY!$Y55-1,"")</f>
        <v>0.34321242711150757</v>
      </c>
      <c r="O53" s="55">
        <f>IFERROR(Inv_SY!O55/Inv_SY!$Y55-1,"")</f>
        <v>0.29125931537622352</v>
      </c>
      <c r="P53" s="55">
        <f>IFERROR(Inv_SY!P55/Inv_SY!$Y55-1,"")</f>
        <v>0.29190071181739974</v>
      </c>
      <c r="Q53" s="55">
        <f>IFERROR(Inv_SY!Q55/Inv_SY!$Y55-1,"")</f>
        <v>-1</v>
      </c>
      <c r="R53" s="55">
        <f>IFERROR(Inv_SY!R55/Inv_SY!$Y55-1,"")</f>
        <v>8.0290962838369673E-3</v>
      </c>
      <c r="S53" s="55">
        <f>IFERROR(Inv_SY!S55/Inv_SY!$Y55-1,"")</f>
        <v>2.7350203011171192E-2</v>
      </c>
      <c r="T53" s="55">
        <f>IFERROR(Inv_SY!T55/Inv_SY!$Y55-1,"")</f>
        <v>-4.2858426152377893E-3</v>
      </c>
      <c r="U53" s="55">
        <f>IFERROR(Inv_SY!U55/Inv_SY!$Y55-1,"")</f>
        <v>1.9947330495803106E-2</v>
      </c>
      <c r="V53" s="55">
        <f>IFERROR(Inv_SY!J55/Inv_SY!$Z55-1,"")</f>
        <v>0.35541471679441838</v>
      </c>
      <c r="W53" s="55">
        <f>IFERROR(Inv_SY!K55/Inv_SY!$Z55-1,"")</f>
        <v>0.32015514013813084</v>
      </c>
      <c r="X53" s="55">
        <f>IFERROR(Inv_SY!L55/Inv_SY!$Z55-1,"")</f>
        <v>-1</v>
      </c>
      <c r="Y53" s="55">
        <f>IFERROR(Inv_SY!M55/Inv_SY!$Z55-1,"")</f>
        <v>0.30050972686411392</v>
      </c>
      <c r="Z53" s="55">
        <f>IFERROR(Inv_SY!N55/Inv_SY!$Z55-1,"")</f>
        <v>0.32755496159228836</v>
      </c>
      <c r="AA53" s="55">
        <f>IFERROR(Inv_SY!O55/Inv_SY!$Z55-1,"")</f>
        <v>0.27620745328889074</v>
      </c>
      <c r="AB53" s="55">
        <f>IFERROR(Inv_SY!P55/Inv_SY!$Z55-1,"")</f>
        <v>0.27684137314448809</v>
      </c>
      <c r="AC53" s="55">
        <f>IFERROR(Inv_SY!Q55/Inv_SY!$Z55-1,"")</f>
        <v>-1</v>
      </c>
      <c r="AD53" s="55">
        <f>IFERROR(Inv_SY!R55/Inv_SY!$Z55-1,"")</f>
        <v>-3.7212274169157178E-3</v>
      </c>
      <c r="AE53" s="55">
        <f>IFERROR(Inv_SY!S55/Inv_SY!$Z55-1,"")</f>
        <v>1.537465837270946E-2</v>
      </c>
      <c r="AF53" s="55">
        <f>IFERROR(Inv_SY!T55/Inv_SY!$Z55-1,"")</f>
        <v>-1.589261438980849E-2</v>
      </c>
      <c r="AG53" s="55">
        <f>IFERROR(Inv_SY!U55/Inv_SY!$Z55-1,"")</f>
        <v>8.0580791485684866E-3</v>
      </c>
      <c r="AH53" s="55">
        <f>IFERROR(Inv_SY!V55/Inv_SY!$Y55-1,"")</f>
        <v>4.9709641435460306E-3</v>
      </c>
      <c r="AI53" s="55">
        <f>IFERROR(Inv_SY!W55/Inv_SY!$Y55-1,"")</f>
        <v>-1.6765176791766589E-2</v>
      </c>
      <c r="AJ53" s="55">
        <f>IFERROR(Inv_SY!X55/Inv_SY!$Y55-1,"")</f>
        <v>1.1794212648220226E-2</v>
      </c>
      <c r="AK53" s="55">
        <f>IFERROR(Inv_SY!V55/Inv_SY!$Z55-1,"")</f>
        <v>-6.7437117344398834E-3</v>
      </c>
      <c r="AL53" s="55">
        <f>IFERROR(Inv_SY!W55/Inv_SY!$Z55-1,"")</f>
        <v>-2.8226480328679582E-2</v>
      </c>
      <c r="AM53" s="55">
        <f>IFERROR(Inv_SY!X55/Inv_SY!$Z55-1,"")</f>
        <v>0</v>
      </c>
    </row>
    <row r="54" spans="1:39" x14ac:dyDescent="0.3">
      <c r="A54" s="273">
        <f>YEAR(Table5[[#This Row],[Date]])+IF(MONTH(Table5[[#This Row],[Date]])&gt;=4,1,0)</f>
        <v>2026</v>
      </c>
      <c r="B54" s="273"/>
      <c r="C54" s="273">
        <f>YEAR(Table5[[#This Row],[Date]])</f>
        <v>2025</v>
      </c>
      <c r="D54" s="273"/>
      <c r="E54" s="273"/>
      <c r="F54" s="274" t="str">
        <f>TEXT(Table5[[#This Row],[Date]],"mmm-yy")</f>
        <v>May-25</v>
      </c>
      <c r="G54" s="273">
        <f t="shared" si="5"/>
        <v>31</v>
      </c>
      <c r="H54" s="275">
        <f t="shared" si="6"/>
        <v>45797</v>
      </c>
      <c r="I54" s="273">
        <v>8.02</v>
      </c>
      <c r="J54" s="55">
        <f>IFERROR(Inv_SY!J56/Inv_SY!$Y56-1,"")</f>
        <v>0.36040695811299384</v>
      </c>
      <c r="K54" s="55">
        <f>IFERROR(Inv_SY!K56/Inv_SY!$Y56-1,"")</f>
        <v>0.3600117666889544</v>
      </c>
      <c r="L54" s="55">
        <f>IFERROR(Inv_SY!L56/Inv_SY!$Y56-1,"")</f>
        <v>-1</v>
      </c>
      <c r="M54" s="55">
        <f>IFERROR(Inv_SY!M56/Inv_SY!$Y56-1,"")</f>
        <v>0.36837100623934838</v>
      </c>
      <c r="N54" s="55">
        <f>IFERROR(Inv_SY!N56/Inv_SY!$Y56-1,"")</f>
        <v>0.33884635058507739</v>
      </c>
      <c r="O54" s="55">
        <f>IFERROR(Inv_SY!O56/Inv_SY!$Y56-1,"")</f>
        <v>0.33065228315679995</v>
      </c>
      <c r="P54" s="55">
        <f>IFERROR(Inv_SY!P56/Inv_SY!$Y56-1,"")</f>
        <v>0.36495489876341369</v>
      </c>
      <c r="Q54" s="55">
        <f>IFERROR(Inv_SY!Q56/Inv_SY!$Y56-1,"")</f>
        <v>-1</v>
      </c>
      <c r="R54" s="55">
        <f>IFERROR(Inv_SY!R56/Inv_SY!$Y56-1,"")</f>
        <v>-3.4894255440925837E-2</v>
      </c>
      <c r="S54" s="55">
        <f>IFERROR(Inv_SY!S56/Inv_SY!$Y56-1,"")</f>
        <v>-9.6950381272781216E-3</v>
      </c>
      <c r="T54" s="55">
        <f>IFERROR(Inv_SY!T56/Inv_SY!$Y56-1,"")</f>
        <v>-2.5826988907683424E-2</v>
      </c>
      <c r="U54" s="55">
        <f>IFERROR(Inv_SY!U56/Inv_SY!$Y56-1,"")</f>
        <v>-5.3026786581081953E-2</v>
      </c>
      <c r="V54" s="55">
        <f>IFERROR(Inv_SY!J56/Inv_SY!$Z56-1,"")</f>
        <v>0.33172635317218857</v>
      </c>
      <c r="W54" s="55">
        <f>IFERROR(Inv_SY!K56/Inv_SY!$Z56-1,"")</f>
        <v>0.33133949332058132</v>
      </c>
      <c r="X54" s="55">
        <f>IFERROR(Inv_SY!L56/Inv_SY!$Z56-1,"")</f>
        <v>-1</v>
      </c>
      <c r="Y54" s="55">
        <f>IFERROR(Inv_SY!M56/Inv_SY!$Z56-1,"")</f>
        <v>0.33952250027695596</v>
      </c>
      <c r="Z54" s="55">
        <f>IFERROR(Inv_SY!N56/Inv_SY!$Z56-1,"")</f>
        <v>0.31062029438287153</v>
      </c>
      <c r="AA54" s="55">
        <f>IFERROR(Inv_SY!O56/Inv_SY!$Z56-1,"")</f>
        <v>0.30259897732856644</v>
      </c>
      <c r="AB54" s="55">
        <f>IFERROR(Inv_SY!P56/Inv_SY!$Z56-1,"")</f>
        <v>0.33617841244806024</v>
      </c>
      <c r="AC54" s="55">
        <f>IFERROR(Inv_SY!Q56/Inv_SY!$Z56-1,"")</f>
        <v>-1</v>
      </c>
      <c r="AD54" s="55">
        <f>IFERROR(Inv_SY!R56/Inv_SY!$Z56-1,"")</f>
        <v>-5.5240973326134868E-2</v>
      </c>
      <c r="AE54" s="55">
        <f>IFERROR(Inv_SY!S56/Inv_SY!$Z56-1,"")</f>
        <v>-3.0573015274489745E-2</v>
      </c>
      <c r="AF54" s="55">
        <f>IFERROR(Inv_SY!T56/Inv_SY!$Z56-1,"")</f>
        <v>-4.6364866274826944E-2</v>
      </c>
      <c r="AG54" s="55">
        <f>IFERROR(Inv_SY!U56/Inv_SY!$Z56-1,"")</f>
        <v>-7.2991227707776773E-2</v>
      </c>
      <c r="AH54" s="55">
        <f>IFERROR(Inv_SY!V56/Inv_SY!$Y56-1,"")</f>
        <v>2.1536410143486062E-2</v>
      </c>
      <c r="AI54" s="55">
        <f>IFERROR(Inv_SY!W56/Inv_SY!$Y56-1,"")</f>
        <v>1.0300284025576145E-2</v>
      </c>
      <c r="AJ54" s="55">
        <f>IFERROR(Inv_SY!X56/Inv_SY!$Y56-1,"")</f>
        <v>-3.1836694169062429E-2</v>
      </c>
      <c r="AK54" s="55">
        <f>IFERROR(Inv_SY!V56/Inv_SY!$Z56-1,"")</f>
        <v>0</v>
      </c>
      <c r="AL54" s="55">
        <f>IFERROR(Inv_SY!W56/Inv_SY!$Z56-1,"")</f>
        <v>-1.0999241932386661E-2</v>
      </c>
      <c r="AM54" s="55">
        <f>IFERROR(Inv_SY!X56/Inv_SY!$Z56-1,"")</f>
        <v>-5.2247872697020803E-2</v>
      </c>
    </row>
    <row r="55" spans="1:39" x14ac:dyDescent="0.3">
      <c r="A55" s="273">
        <f>YEAR(Table5[[#This Row],[Date]])+IF(MONTH(Table5[[#This Row],[Date]])&gt;=4,1,0)</f>
        <v>2026</v>
      </c>
      <c r="B55" s="273"/>
      <c r="C55" s="273">
        <f>YEAR(Table5[[#This Row],[Date]])</f>
        <v>2025</v>
      </c>
      <c r="D55" s="273"/>
      <c r="E55" s="273"/>
      <c r="F55" s="274" t="str">
        <f>TEXT(Table5[[#This Row],[Date]],"mmm-yy")</f>
        <v>May-25</v>
      </c>
      <c r="G55" s="273">
        <f t="shared" si="5"/>
        <v>31</v>
      </c>
      <c r="H55" s="275">
        <f t="shared" si="6"/>
        <v>45798</v>
      </c>
      <c r="I55" s="273">
        <v>8.02</v>
      </c>
      <c r="J55" s="55">
        <f>IFERROR(Inv_SY!J57/Inv_SY!$Y57-1,"")</f>
        <v>0.33127784806511418</v>
      </c>
      <c r="K55" s="55">
        <f>IFERROR(Inv_SY!K57/Inv_SY!$Y57-1,"")</f>
        <v>0.32558235336823604</v>
      </c>
      <c r="L55" s="55">
        <f>IFERROR(Inv_SY!L57/Inv_SY!$Y57-1,"")</f>
        <v>-1</v>
      </c>
      <c r="M55" s="55">
        <f>IFERROR(Inv_SY!M57/Inv_SY!$Y57-1,"")</f>
        <v>0.35654735350063294</v>
      </c>
      <c r="N55" s="55">
        <f>IFERROR(Inv_SY!N57/Inv_SY!$Y57-1,"")</f>
        <v>0.36277007385483184</v>
      </c>
      <c r="O55" s="55">
        <f>IFERROR(Inv_SY!O57/Inv_SY!$Y57-1,"")</f>
        <v>0.29670541557774421</v>
      </c>
      <c r="P55" s="55">
        <f>IFERROR(Inv_SY!P57/Inv_SY!$Y57-1,"")</f>
        <v>0.29813771169215242</v>
      </c>
      <c r="Q55" s="55">
        <f>IFERROR(Inv_SY!Q57/Inv_SY!$Y57-1,"")</f>
        <v>-1</v>
      </c>
      <c r="R55" s="55">
        <f>IFERROR(Inv_SY!R57/Inv_SY!$Y57-1,"")</f>
        <v>-2.6889917198057445E-3</v>
      </c>
      <c r="S55" s="55">
        <f>IFERROR(Inv_SY!S57/Inv_SY!$Y57-1,"")</f>
        <v>1.6443907696293003E-2</v>
      </c>
      <c r="T55" s="55">
        <f>IFERROR(Inv_SY!T57/Inv_SY!$Y57-1,"")</f>
        <v>-1.4716375538226689E-2</v>
      </c>
      <c r="U55" s="55">
        <f>IFERROR(Inv_SY!U57/Inv_SY!$Y57-1,"")</f>
        <v>2.9338672099366914E-2</v>
      </c>
      <c r="V55" s="55">
        <f>IFERROR(Inv_SY!J57/Inv_SY!$Z57-1,"")</f>
        <v>0.32309430997414212</v>
      </c>
      <c r="W55" s="55">
        <f>IFERROR(Inv_SY!K57/Inv_SY!$Z57-1,"")</f>
        <v>0.31743382622397709</v>
      </c>
      <c r="X55" s="55">
        <f>IFERROR(Inv_SY!L57/Inv_SY!$Z57-1,"")</f>
        <v>-1</v>
      </c>
      <c r="Y55" s="55">
        <f>IFERROR(Inv_SY!M57/Inv_SY!$Z57-1,"")</f>
        <v>0.3482084804729515</v>
      </c>
      <c r="Z55" s="55">
        <f>IFERROR(Inv_SY!N57/Inv_SY!$Z57-1,"")</f>
        <v>0.3543929489557458</v>
      </c>
      <c r="AA55" s="55">
        <f>IFERROR(Inv_SY!O57/Inv_SY!$Z57-1,"")</f>
        <v>0.28873439872609796</v>
      </c>
      <c r="AB55" s="55">
        <f>IFERROR(Inv_SY!P57/Inv_SY!$Z57-1,"")</f>
        <v>0.29015789032999262</v>
      </c>
      <c r="AC55" s="55">
        <f>IFERROR(Inv_SY!Q57/Inv_SY!$Z57-1,"")</f>
        <v>-1</v>
      </c>
      <c r="AD55" s="55">
        <f>IFERROR(Inv_SY!R57/Inv_SY!$Z57-1,"")</f>
        <v>-8.8195922076519384E-3</v>
      </c>
      <c r="AE55" s="55">
        <f>IFERROR(Inv_SY!S57/Inv_SY!$Z57-1,"")</f>
        <v>1.0195694787125564E-2</v>
      </c>
      <c r="AF55" s="55">
        <f>IFERROR(Inv_SY!T57/Inv_SY!$Z57-1,"")</f>
        <v>-2.0773042133342745E-2</v>
      </c>
      <c r="AG55" s="55">
        <f>IFERROR(Inv_SY!U57/Inv_SY!$Z57-1,"")</f>
        <v>2.3011193396195617E-2</v>
      </c>
      <c r="AH55" s="55">
        <f>IFERROR(Inv_SY!V57/Inv_SY!$Y57-1,"")</f>
        <v>2.7567765908118602E-3</v>
      </c>
      <c r="AI55" s="55">
        <f>IFERROR(Inv_SY!W57/Inv_SY!$Y57-1,"")</f>
        <v>-8.9419275881972293E-3</v>
      </c>
      <c r="AJ55" s="55">
        <f>IFERROR(Inv_SY!X57/Inv_SY!$Y57-1,"")</f>
        <v>6.1851509973858132E-3</v>
      </c>
      <c r="AK55" s="55">
        <f>IFERROR(Inv_SY!V57/Inv_SY!$Z57-1,"")</f>
        <v>-3.4072997431691121E-3</v>
      </c>
      <c r="AL55" s="55">
        <f>IFERROR(Inv_SY!W57/Inv_SY!$Z57-1,"")</f>
        <v>-1.503409046594284E-2</v>
      </c>
      <c r="AM55" s="55">
        <f>IFERROR(Inv_SY!X57/Inv_SY!$Z57-1,"")</f>
        <v>0</v>
      </c>
    </row>
    <row r="56" spans="1:39" x14ac:dyDescent="0.3">
      <c r="A56" s="273">
        <f>YEAR(Table5[[#This Row],[Date]])+IF(MONTH(Table5[[#This Row],[Date]])&gt;=4,1,0)</f>
        <v>2026</v>
      </c>
      <c r="B56" s="273"/>
      <c r="C56" s="273">
        <f>YEAR(Table5[[#This Row],[Date]])</f>
        <v>2025</v>
      </c>
      <c r="D56" s="273"/>
      <c r="E56" s="273"/>
      <c r="F56" s="274" t="str">
        <f>TEXT(Table5[[#This Row],[Date]],"mmm-yy")</f>
        <v>May-25</v>
      </c>
      <c r="G56" s="273">
        <f t="shared" si="5"/>
        <v>31</v>
      </c>
      <c r="H56" s="275">
        <f t="shared" si="6"/>
        <v>45799</v>
      </c>
      <c r="I56" s="273">
        <v>8.02</v>
      </c>
      <c r="J56" s="55">
        <f>IFERROR(Inv_SY!J58/Inv_SY!$Y58-1,"")</f>
        <v>0.31268644980720062</v>
      </c>
      <c r="K56" s="55">
        <f>IFERROR(Inv_SY!K58/Inv_SY!$Y58-1,"")</f>
        <v>0.35983216949413332</v>
      </c>
      <c r="L56" s="55">
        <f>IFERROR(Inv_SY!L58/Inv_SY!$Y58-1,"")</f>
        <v>-1</v>
      </c>
      <c r="M56" s="55">
        <f>IFERROR(Inv_SY!M58/Inv_SY!$Y58-1,"")</f>
        <v>0.29180735494672527</v>
      </c>
      <c r="N56" s="55">
        <f>IFERROR(Inv_SY!N58/Inv_SY!$Y58-1,"")</f>
        <v>0.29839956560348102</v>
      </c>
      <c r="O56" s="55">
        <f>IFERROR(Inv_SY!O58/Inv_SY!$Y58-1,"")</f>
        <v>0.33575308708431129</v>
      </c>
      <c r="P56" s="55">
        <f>IFERROR(Inv_SY!P58/Inv_SY!$Y58-1,"")</f>
        <v>0.29048680779866642</v>
      </c>
      <c r="Q56" s="55">
        <f>IFERROR(Inv_SY!Q58/Inv_SY!$Y58-1,"")</f>
        <v>-1</v>
      </c>
      <c r="R56" s="55">
        <f>IFERROR(Inv_SY!R58/Inv_SY!$Y58-1,"")</f>
        <v>1.9391026277413514E-2</v>
      </c>
      <c r="S56" s="55">
        <f>IFERROR(Inv_SY!S58/Inv_SY!$Y58-1,"")</f>
        <v>4.2221399685526961E-2</v>
      </c>
      <c r="T56" s="55">
        <f>IFERROR(Inv_SY!T58/Inv_SY!$Y58-1,"")</f>
        <v>4.9761011818059808E-2</v>
      </c>
      <c r="U56" s="55">
        <f>IFERROR(Inv_SY!U58/Inv_SY!$Y58-1,"")</f>
        <v>8.4400480853119575E-5</v>
      </c>
      <c r="V56" s="55">
        <f>IFERROR(Inv_SY!J58/Inv_SY!$Z58-1,"")</f>
        <v>0.27830207036224608</v>
      </c>
      <c r="W56" s="55">
        <f>IFERROR(Inv_SY!K58/Inv_SY!$Z58-1,"")</f>
        <v>0.32421285971592306</v>
      </c>
      <c r="X56" s="55">
        <f>IFERROR(Inv_SY!L58/Inv_SY!$Z58-1,"")</f>
        <v>-1</v>
      </c>
      <c r="Y56" s="55">
        <f>IFERROR(Inv_SY!M58/Inv_SY!$Z58-1,"")</f>
        <v>0.25796988045401981</v>
      </c>
      <c r="Z56" s="55">
        <f>IFERROR(Inv_SY!N58/Inv_SY!$Z58-1,"")</f>
        <v>0.26438941539477634</v>
      </c>
      <c r="AA56" s="55">
        <f>IFERROR(Inv_SY!O58/Inv_SY!$Z58-1,"")</f>
        <v>0.30076450241672203</v>
      </c>
      <c r="AB56" s="55">
        <f>IFERROR(Inv_SY!P58/Inv_SY!$Z58-1,"")</f>
        <v>0.25668392358776093</v>
      </c>
      <c r="AC56" s="55">
        <f>IFERROR(Inv_SY!Q58/Inv_SY!$Z58-1,"")</f>
        <v>-1</v>
      </c>
      <c r="AD56" s="55">
        <f>IFERROR(Inv_SY!R58/Inv_SY!$Z58-1,"")</f>
        <v>-7.3108017603881192E-3</v>
      </c>
      <c r="AE56" s="55">
        <f>IFERROR(Inv_SY!S58/Inv_SY!$Z58-1,"")</f>
        <v>1.4921555097581418E-2</v>
      </c>
      <c r="AF56" s="55">
        <f>IFERROR(Inv_SY!T58/Inv_SY!$Z58-1,"")</f>
        <v>2.2263675373265235E-2</v>
      </c>
      <c r="AG56" s="55">
        <f>IFERROR(Inv_SY!U58/Inv_SY!$Z58-1,"")</f>
        <v>-2.6111711704325691E-2</v>
      </c>
      <c r="AH56" s="55">
        <f>IFERROR(Inv_SY!V58/Inv_SY!$Y58-1,"")</f>
        <v>-9.6993276219381475E-3</v>
      </c>
      <c r="AI56" s="55">
        <f>IFERROR(Inv_SY!W58/Inv_SY!$Y58-1,"")</f>
        <v>-1.7199149852334394E-2</v>
      </c>
      <c r="AJ56" s="55">
        <f>IFERROR(Inv_SY!X58/Inv_SY!$Y58-1,"")</f>
        <v>2.6898477474272209E-2</v>
      </c>
      <c r="AK56" s="55">
        <f>IFERROR(Inv_SY!V58/Inv_SY!$Z58-1,"")</f>
        <v>-3.5639165797796579E-2</v>
      </c>
      <c r="AL56" s="55">
        <f>IFERROR(Inv_SY!W58/Inv_SY!$Z58-1,"")</f>
        <v>-4.2942538424117438E-2</v>
      </c>
      <c r="AM56" s="55">
        <f>IFERROR(Inv_SY!X58/Inv_SY!$Z58-1,"")</f>
        <v>0</v>
      </c>
    </row>
    <row r="57" spans="1:39" x14ac:dyDescent="0.3">
      <c r="A57" s="273">
        <f>YEAR(Table5[[#This Row],[Date]])+IF(MONTH(Table5[[#This Row],[Date]])&gt;=4,1,0)</f>
        <v>2026</v>
      </c>
      <c r="B57" s="273"/>
      <c r="C57" s="273">
        <f>YEAR(Table5[[#This Row],[Date]])</f>
        <v>2025</v>
      </c>
      <c r="D57" s="273"/>
      <c r="E57" s="273"/>
      <c r="F57" s="274" t="str">
        <f>TEXT(Table5[[#This Row],[Date]],"mmm-yy")</f>
        <v>May-25</v>
      </c>
      <c r="G57" s="273">
        <f t="shared" si="5"/>
        <v>31</v>
      </c>
      <c r="H57" s="275">
        <f t="shared" si="6"/>
        <v>45800</v>
      </c>
      <c r="I57" s="273">
        <v>8.02</v>
      </c>
      <c r="J57" s="55">
        <f>IFERROR(Inv_SY!J59/Inv_SY!$Y59-1,"")</f>
        <v>0.30605137572666163</v>
      </c>
      <c r="K57" s="55">
        <f>IFERROR(Inv_SY!K59/Inv_SY!$Y59-1,"")</f>
        <v>0.30529016790866437</v>
      </c>
      <c r="L57" s="55">
        <f>IFERROR(Inv_SY!L59/Inv_SY!$Y59-1,"")</f>
        <v>-1</v>
      </c>
      <c r="M57" s="55">
        <f>IFERROR(Inv_SY!M59/Inv_SY!$Y59-1,"")</f>
        <v>0.31089767463141715</v>
      </c>
      <c r="N57" s="55">
        <f>IFERROR(Inv_SY!N59/Inv_SY!$Y59-1,"")</f>
        <v>0.29776722413360956</v>
      </c>
      <c r="O57" s="55">
        <f>IFERROR(Inv_SY!O59/Inv_SY!$Y59-1,"")</f>
        <v>0.28969877780045805</v>
      </c>
      <c r="P57" s="55">
        <f>IFERROR(Inv_SY!P59/Inv_SY!$Y59-1,"")</f>
        <v>0.31508306786229068</v>
      </c>
      <c r="Q57" s="55">
        <f>IFERROR(Inv_SY!Q59/Inv_SY!$Y59-1,"")</f>
        <v>-1</v>
      </c>
      <c r="R57" s="55">
        <f>IFERROR(Inv_SY!R59/Inv_SY!$Y59-1,"")</f>
        <v>4.1344183429008252E-2</v>
      </c>
      <c r="S57" s="55">
        <f>IFERROR(Inv_SY!S59/Inv_SY!$Y59-1,"")</f>
        <v>6.1453659589823406E-2</v>
      </c>
      <c r="T57" s="55">
        <f>IFERROR(Inv_SY!T59/Inv_SY!$Y59-1,"")</f>
        <v>2.8343808842568263E-2</v>
      </c>
      <c r="U57" s="55">
        <f>IFERROR(Inv_SY!U59/Inv_SY!$Y59-1,"")</f>
        <v>4.4190839632728629E-2</v>
      </c>
      <c r="V57" s="55">
        <f>IFERROR(Inv_SY!J59/Inv_SY!$Z59-1,"")</f>
        <v>0.25243197051529509</v>
      </c>
      <c r="W57" s="55">
        <f>IFERROR(Inv_SY!K59/Inv_SY!$Z59-1,"")</f>
        <v>0.25170201377302259</v>
      </c>
      <c r="X57" s="55">
        <f>IFERROR(Inv_SY!L59/Inv_SY!$Z59-1,"")</f>
        <v>-1</v>
      </c>
      <c r="Y57" s="55">
        <f>IFERROR(Inv_SY!M59/Inv_SY!$Z59-1,"")</f>
        <v>0.25707930660007339</v>
      </c>
      <c r="Z57" s="55">
        <f>IFERROR(Inv_SY!N59/Inv_SY!$Z59-1,"")</f>
        <v>0.24448792137866682</v>
      </c>
      <c r="AA57" s="55">
        <f>IFERROR(Inv_SY!O59/Inv_SY!$Z59-1,"")</f>
        <v>0.23675072181069146</v>
      </c>
      <c r="AB57" s="55">
        <f>IFERROR(Inv_SY!P59/Inv_SY!$Z59-1,"")</f>
        <v>0.26109287022317984</v>
      </c>
      <c r="AC57" s="55">
        <f>IFERROR(Inv_SY!Q59/Inv_SY!$Z59-1,"")</f>
        <v>-1</v>
      </c>
      <c r="AD57" s="55">
        <f>IFERROR(Inv_SY!R59/Inv_SY!$Z59-1,"")</f>
        <v>-1.4077762362180168E-3</v>
      </c>
      <c r="AE57" s="55">
        <f>IFERROR(Inv_SY!S59/Inv_SY!$Z59-1,"")</f>
        <v>1.7876113603189747E-2</v>
      </c>
      <c r="AF57" s="55">
        <f>IFERROR(Inv_SY!T59/Inv_SY!$Z59-1,"")</f>
        <v>-1.3874425759613063E-2</v>
      </c>
      <c r="AG57" s="55">
        <f>IFERROR(Inv_SY!U59/Inv_SY!$Z59-1,"")</f>
        <v>1.322011661001099E-3</v>
      </c>
      <c r="AH57" s="55">
        <f>IFERROR(Inv_SY!V59/Inv_SY!$Y59-1,"")</f>
        <v>-2.008124566264724E-2</v>
      </c>
      <c r="AI57" s="55">
        <f>IFERROR(Inv_SY!W59/Inv_SY!$Y59-1,"")</f>
        <v>-2.2730984042177105E-2</v>
      </c>
      <c r="AJ57" s="55">
        <f>IFERROR(Inv_SY!X59/Inv_SY!$Y59-1,"")</f>
        <v>4.2812229704824345E-2</v>
      </c>
      <c r="AK57" s="55">
        <f>IFERROR(Inv_SY!V59/Inv_SY!$Z59-1,"")</f>
        <v>-6.031140945218294E-2</v>
      </c>
      <c r="AL57" s="55">
        <f>IFERROR(Inv_SY!W59/Inv_SY!$Z59-1,"")</f>
        <v>-6.2852363905967823E-2</v>
      </c>
      <c r="AM57" s="55">
        <f>IFERROR(Inv_SY!X59/Inv_SY!$Z59-1,"")</f>
        <v>0</v>
      </c>
    </row>
    <row r="58" spans="1:39" x14ac:dyDescent="0.3">
      <c r="A58" s="273">
        <f>YEAR(Table5[[#This Row],[Date]])+IF(MONTH(Table5[[#This Row],[Date]])&gt;=4,1,0)</f>
        <v>2026</v>
      </c>
      <c r="B58" s="273"/>
      <c r="C58" s="273">
        <f>YEAR(Table5[[#This Row],[Date]])</f>
        <v>2025</v>
      </c>
      <c r="D58" s="273"/>
      <c r="E58" s="273"/>
      <c r="F58" s="274" t="str">
        <f>TEXT(Table5[[#This Row],[Date]],"mmm-yy")</f>
        <v>May-25</v>
      </c>
      <c r="G58" s="273">
        <f t="shared" si="5"/>
        <v>31</v>
      </c>
      <c r="H58" s="275">
        <f t="shared" si="6"/>
        <v>45801</v>
      </c>
      <c r="I58" s="273">
        <v>8.02</v>
      </c>
      <c r="J58" s="55">
        <f>IFERROR(Inv_SY!J60/Inv_SY!$Y60-1,"")</f>
        <v>0.32490264220145804</v>
      </c>
      <c r="K58" s="55">
        <f>IFERROR(Inv_SY!K60/Inv_SY!$Y60-1,"")</f>
        <v>0.31090502867352976</v>
      </c>
      <c r="L58" s="55">
        <f>IFERROR(Inv_SY!L60/Inv_SY!$Y60-1,"")</f>
        <v>-1</v>
      </c>
      <c r="M58" s="55">
        <f>IFERROR(Inv_SY!M60/Inv_SY!$Y60-1,"")</f>
        <v>0.30892487167199212</v>
      </c>
      <c r="N58" s="55">
        <f>IFERROR(Inv_SY!N60/Inv_SY!$Y60-1,"")</f>
        <v>0.33618619047213394</v>
      </c>
      <c r="O58" s="55">
        <f>IFERROR(Inv_SY!O60/Inv_SY!$Y60-1,"")</f>
        <v>0.29283595759032766</v>
      </c>
      <c r="P58" s="55">
        <f>IFERROR(Inv_SY!P60/Inv_SY!$Y60-1,"")</f>
        <v>0.29346034366064178</v>
      </c>
      <c r="Q58" s="55">
        <f>IFERROR(Inv_SY!Q60/Inv_SY!$Y60-1,"")</f>
        <v>-1</v>
      </c>
      <c r="R58" s="55">
        <f>IFERROR(Inv_SY!R60/Inv_SY!$Y60-1,"")</f>
        <v>2.825013751474259E-2</v>
      </c>
      <c r="S58" s="55">
        <f>IFERROR(Inv_SY!S60/Inv_SY!$Y60-1,"")</f>
        <v>0.11592464493289389</v>
      </c>
      <c r="T58" s="55">
        <f>IFERROR(Inv_SY!T60/Inv_SY!$Y60-1,"")</f>
        <v>-1.1199329179469864E-3</v>
      </c>
      <c r="U58" s="55">
        <f>IFERROR(Inv_SY!U60/Inv_SY!$Y60-1,"")</f>
        <v>-8.2921328892096025E-3</v>
      </c>
      <c r="V58" s="55">
        <f>IFERROR(Inv_SY!J60/Inv_SY!$Z60-1,"")</f>
        <v>0.28352323526720058</v>
      </c>
      <c r="W58" s="55">
        <f>IFERROR(Inv_SY!K60/Inv_SY!$Z60-1,"")</f>
        <v>0.26996279570800863</v>
      </c>
      <c r="X58" s="55">
        <f>IFERROR(Inv_SY!L60/Inv_SY!$Z60-1,"")</f>
        <v>-1</v>
      </c>
      <c r="Y58" s="55">
        <f>IFERROR(Inv_SY!M60/Inv_SY!$Z60-1,"")</f>
        <v>0.26804448304110418</v>
      </c>
      <c r="Z58" s="55">
        <f>IFERROR(Inv_SY!N60/Inv_SY!$Z60-1,"")</f>
        <v>0.29445437535278995</v>
      </c>
      <c r="AA58" s="55">
        <f>IFERROR(Inv_SY!O60/Inv_SY!$Z60-1,"")</f>
        <v>0.25245805850222536</v>
      </c>
      <c r="AB58" s="55">
        <f>IFERROR(Inv_SY!P60/Inv_SY!$Z60-1,"")</f>
        <v>0.25306294372435278</v>
      </c>
      <c r="AC58" s="55">
        <f>IFERROR(Inv_SY!Q60/Inv_SY!$Z60-1,"")</f>
        <v>-1</v>
      </c>
      <c r="AD58" s="55">
        <f>IFERROR(Inv_SY!R60/Inv_SY!$Z60-1,"")</f>
        <v>-3.8642077323393087E-3</v>
      </c>
      <c r="AE58" s="55">
        <f>IFERROR(Inv_SY!S60/Inv_SY!$Z60-1,"")</f>
        <v>8.1072046319369706E-2</v>
      </c>
      <c r="AF58" s="55">
        <f>IFERROR(Inv_SY!T60/Inv_SY!$Z60-1,"")</f>
        <v>-3.2316991069803014E-2</v>
      </c>
      <c r="AG58" s="55">
        <f>IFERROR(Inv_SY!U60/Inv_SY!$Z60-1,"")</f>
        <v>-3.9265188633815895E-2</v>
      </c>
      <c r="AH58" s="55">
        <f>IFERROR(Inv_SY!V60/Inv_SY!$Y60-1,"")</f>
        <v>-1.4499629220101173E-2</v>
      </c>
      <c r="AI58" s="55">
        <f>IFERROR(Inv_SY!W60/Inv_SY!$Y60-1,"")</f>
        <v>-1.773929392307283E-2</v>
      </c>
      <c r="AJ58" s="55">
        <f>IFERROR(Inv_SY!X60/Inv_SY!$Y60-1,"")</f>
        <v>3.2238923143174114E-2</v>
      </c>
      <c r="AK58" s="55">
        <f>IFERROR(Inv_SY!V60/Inv_SY!$Z60-1,"")</f>
        <v>-4.5278812216222319E-2</v>
      </c>
      <c r="AL58" s="55">
        <f>IFERROR(Inv_SY!W60/Inv_SY!$Z60-1,"")</f>
        <v>-4.8417295594766929E-2</v>
      </c>
      <c r="AM58" s="55">
        <f>IFERROR(Inv_SY!X60/Inv_SY!$Z60-1,"")</f>
        <v>0</v>
      </c>
    </row>
    <row r="59" spans="1:39" x14ac:dyDescent="0.3">
      <c r="A59" s="273">
        <f>YEAR(Table5[[#This Row],[Date]])+IF(MONTH(Table5[[#This Row],[Date]])&gt;=4,1,0)</f>
        <v>2026</v>
      </c>
      <c r="B59" s="273"/>
      <c r="C59" s="273">
        <f>YEAR(Table5[[#This Row],[Date]])</f>
        <v>2025</v>
      </c>
      <c r="D59" s="273"/>
      <c r="E59" s="273"/>
      <c r="F59" s="274" t="str">
        <f>TEXT(Table5[[#This Row],[Date]],"mmm-yy")</f>
        <v>May-25</v>
      </c>
      <c r="G59" s="273">
        <f t="shared" si="5"/>
        <v>31</v>
      </c>
      <c r="H59" s="275">
        <f t="shared" si="6"/>
        <v>45802</v>
      </c>
      <c r="I59" s="273">
        <v>8.02</v>
      </c>
      <c r="J59" s="55">
        <f>IFERROR(Inv_SY!J61/Inv_SY!$Y61-1,"")</f>
        <v>0.34952171489488792</v>
      </c>
      <c r="K59" s="55">
        <f>IFERROR(Inv_SY!K61/Inv_SY!$Y61-1,"")</f>
        <v>0.39192354448815103</v>
      </c>
      <c r="L59" s="55">
        <f>IFERROR(Inv_SY!L61/Inv_SY!$Y61-1,"")</f>
        <v>-1</v>
      </c>
      <c r="M59" s="55">
        <f>IFERROR(Inv_SY!M61/Inv_SY!$Y61-1,"")</f>
        <v>0.32884767058000031</v>
      </c>
      <c r="N59" s="55">
        <f>IFERROR(Inv_SY!N61/Inv_SY!$Y61-1,"")</f>
        <v>0.31851955555672529</v>
      </c>
      <c r="O59" s="55">
        <f>IFERROR(Inv_SY!O61/Inv_SY!$Y61-1,"")</f>
        <v>0.35225654083035085</v>
      </c>
      <c r="P59" s="55">
        <f>IFERROR(Inv_SY!P61/Inv_SY!$Y61-1,"")</f>
        <v>0.31013673756952875</v>
      </c>
      <c r="Q59" s="55">
        <f>IFERROR(Inv_SY!Q61/Inv_SY!$Y61-1,"")</f>
        <v>-1</v>
      </c>
      <c r="R59" s="55">
        <f>IFERROR(Inv_SY!R61/Inv_SY!$Y61-1,"")</f>
        <v>-2.0731813425527212E-2</v>
      </c>
      <c r="S59" s="55">
        <f>IFERROR(Inv_SY!S61/Inv_SY!$Y61-1,"")</f>
        <v>2.4391046841550912E-2</v>
      </c>
      <c r="T59" s="55">
        <f>IFERROR(Inv_SY!T61/Inv_SY!$Y61-1,"")</f>
        <v>-3.2505676185120236E-2</v>
      </c>
      <c r="U59" s="55">
        <f>IFERROR(Inv_SY!U61/Inv_SY!$Y61-1,"")</f>
        <v>-2.1495003876397467E-2</v>
      </c>
      <c r="V59" s="55">
        <f>IFERROR(Inv_SY!J61/Inv_SY!$Z61-1,"")</f>
        <v>0.32724836308253469</v>
      </c>
      <c r="W59" s="55">
        <f>IFERROR(Inv_SY!K61/Inv_SY!$Z61-1,"")</f>
        <v>0.36895036631687783</v>
      </c>
      <c r="X59" s="55">
        <f>IFERROR(Inv_SY!L61/Inv_SY!$Z61-1,"")</f>
        <v>-1</v>
      </c>
      <c r="Y59" s="55">
        <f>IFERROR(Inv_SY!M61/Inv_SY!$Z61-1,"")</f>
        <v>0.3069155361466096</v>
      </c>
      <c r="Z59" s="55">
        <f>IFERROR(Inv_SY!N61/Inv_SY!$Z61-1,"")</f>
        <v>0.29675788280389392</v>
      </c>
      <c r="AA59" s="55">
        <f>IFERROR(Inv_SY!O61/Inv_SY!$Z61-1,"")</f>
        <v>0.32993805173748281</v>
      </c>
      <c r="AB59" s="55">
        <f>IFERROR(Inv_SY!P61/Inv_SY!$Z61-1,"")</f>
        <v>0.28851342009630998</v>
      </c>
      <c r="AC59" s="55">
        <f>IFERROR(Inv_SY!Q61/Inv_SY!$Z61-1,"")</f>
        <v>-1</v>
      </c>
      <c r="AD59" s="55">
        <f>IFERROR(Inv_SY!R61/Inv_SY!$Z61-1,"")</f>
        <v>-3.6894269055162909E-2</v>
      </c>
      <c r="AE59" s="55">
        <f>IFERROR(Inv_SY!S61/Inv_SY!$Z61-1,"")</f>
        <v>7.4838552581211193E-3</v>
      </c>
      <c r="AF59" s="55">
        <f>IFERROR(Inv_SY!T61/Inv_SY!$Z61-1,"")</f>
        <v>-4.847380860784456E-2</v>
      </c>
      <c r="AG59" s="55">
        <f>IFERROR(Inv_SY!U61/Inv_SY!$Z61-1,"")</f>
        <v>-3.7644863332718881E-2</v>
      </c>
      <c r="AH59" s="55">
        <f>IFERROR(Inv_SY!V61/Inv_SY!$Y61-1,"")</f>
        <v>1.6781600514182093E-2</v>
      </c>
      <c r="AI59" s="55">
        <f>IFERROR(Inv_SY!W61/Inv_SY!$Y61-1,"")</f>
        <v>-3.1072772500337908E-3</v>
      </c>
      <c r="AJ59" s="55">
        <f>IFERROR(Inv_SY!X61/Inv_SY!$Y61-1,"")</f>
        <v>-1.3674323264148414E-2</v>
      </c>
      <c r="AK59" s="55">
        <f>IFERROR(Inv_SY!V61/Inv_SY!$Z61-1,"")</f>
        <v>0</v>
      </c>
      <c r="AL59" s="55">
        <f>IFERROR(Inv_SY!W61/Inv_SY!$Z61-1,"")</f>
        <v>-1.9560619265885815E-2</v>
      </c>
      <c r="AM59" s="55">
        <f>IFERROR(Inv_SY!X61/Inv_SY!$Z61-1,"")</f>
        <v>-2.9953260132686399E-2</v>
      </c>
    </row>
    <row r="60" spans="1:39" x14ac:dyDescent="0.3">
      <c r="A60" s="273">
        <f>YEAR(Table5[[#This Row],[Date]])+IF(MONTH(Table5[[#This Row],[Date]])&gt;=4,1,0)</f>
        <v>2026</v>
      </c>
      <c r="B60" s="273"/>
      <c r="C60" s="273">
        <f>YEAR(Table5[[#This Row],[Date]])</f>
        <v>2025</v>
      </c>
      <c r="D60" s="273"/>
      <c r="E60" s="273"/>
      <c r="F60" s="274" t="str">
        <f>TEXT(Table5[[#This Row],[Date]],"mmm-yy")</f>
        <v>May-25</v>
      </c>
      <c r="G60" s="273">
        <f t="shared" si="5"/>
        <v>31</v>
      </c>
      <c r="H60" s="275">
        <f t="shared" si="6"/>
        <v>45803</v>
      </c>
      <c r="I60" s="273">
        <v>8.02</v>
      </c>
      <c r="J60" s="55">
        <f>IFERROR(Inv_SY!J62/Inv_SY!$Y62-1,"")</f>
        <v>0.32509277571593098</v>
      </c>
      <c r="K60" s="55">
        <f>IFERROR(Inv_SY!K62/Inv_SY!$Y62-1,"")</f>
        <v>0.32559541877926557</v>
      </c>
      <c r="L60" s="55">
        <f>IFERROR(Inv_SY!L62/Inv_SY!$Y62-1,"")</f>
        <v>-1</v>
      </c>
      <c r="M60" s="55">
        <f>IFERROR(Inv_SY!M62/Inv_SY!$Y62-1,"")</f>
        <v>0.37992874038734281</v>
      </c>
      <c r="N60" s="55">
        <f>IFERROR(Inv_SY!N62/Inv_SY!$Y62-1,"")</f>
        <v>0.29457780974389847</v>
      </c>
      <c r="O60" s="55">
        <f>IFERROR(Inv_SY!O62/Inv_SY!$Y62-1,"")</f>
        <v>0.28755316693254152</v>
      </c>
      <c r="P60" s="55">
        <f>IFERROR(Inv_SY!P62/Inv_SY!$Y62-1,"")</f>
        <v>0.35237146196460811</v>
      </c>
      <c r="Q60" s="55">
        <f>IFERROR(Inv_SY!Q62/Inv_SY!$Y62-1,"")</f>
        <v>-1</v>
      </c>
      <c r="R60" s="55">
        <f>IFERROR(Inv_SY!R62/Inv_SY!$Y62-1,"")</f>
        <v>-8.9062668995639749E-3</v>
      </c>
      <c r="S60" s="55">
        <f>IFERROR(Inv_SY!S62/Inv_SY!$Y62-1,"")</f>
        <v>1.0556764670077046E-2</v>
      </c>
      <c r="T60" s="55">
        <f>IFERROR(Inv_SY!T62/Inv_SY!$Y62-1,"")</f>
        <v>-1.5962450261692629E-2</v>
      </c>
      <c r="U60" s="55">
        <f>IFERROR(Inv_SY!U62/Inv_SY!$Y62-1,"")</f>
        <v>4.8068661518714029E-2</v>
      </c>
      <c r="V60" s="55">
        <f>IFERROR(Inv_SY!J62/Inv_SY!$Z62-1,"")</f>
        <v>0.31509501230970161</v>
      </c>
      <c r="W60" s="55">
        <f>IFERROR(Inv_SY!K62/Inv_SY!$Z62-1,"")</f>
        <v>0.31559386295448477</v>
      </c>
      <c r="X60" s="55">
        <f>IFERROR(Inv_SY!L62/Inv_SY!$Z62-1,"")</f>
        <v>-1</v>
      </c>
      <c r="Y60" s="55">
        <f>IFERROR(Inv_SY!M62/Inv_SY!$Z62-1,"")</f>
        <v>0.36951724217628734</v>
      </c>
      <c r="Z60" s="55">
        <f>IFERROR(Inv_SY!N62/Inv_SY!$Z62-1,"")</f>
        <v>0.2848102803376793</v>
      </c>
      <c r="AA60" s="55">
        <f>IFERROR(Inv_SY!O62/Inv_SY!$Z62-1,"")</f>
        <v>0.27783863812984855</v>
      </c>
      <c r="AB60" s="55">
        <f>IFERROR(Inv_SY!P62/Inv_SY!$Z62-1,"")</f>
        <v>0.34216788213846838</v>
      </c>
      <c r="AC60" s="55">
        <f>IFERROR(Inv_SY!Q62/Inv_SY!$Z62-1,"")</f>
        <v>-1</v>
      </c>
      <c r="AD60" s="55">
        <f>IFERROR(Inv_SY!R62/Inv_SY!$Z62-1,"")</f>
        <v>-1.6384023052586016E-2</v>
      </c>
      <c r="AE60" s="55">
        <f>IFERROR(Inv_SY!S62/Inv_SY!$Z62-1,"")</f>
        <v>2.9321608484487172E-3</v>
      </c>
      <c r="AF60" s="55">
        <f>IFERROR(Inv_SY!T62/Inv_SY!$Z62-1,"")</f>
        <v>-2.3386967839198691E-2</v>
      </c>
      <c r="AG60" s="55">
        <f>IFERROR(Inv_SY!U62/Inv_SY!$Z62-1,"")</f>
        <v>4.0161032178808842E-2</v>
      </c>
      <c r="AH60" s="55">
        <f>IFERROR(Inv_SY!V62/Inv_SY!$Y62-1,"")</f>
        <v>7.126968749918916E-3</v>
      </c>
      <c r="AI60" s="55">
        <f>IFERROR(Inv_SY!W62/Inv_SY!$Y62-1,"")</f>
        <v>-1.4729281368130565E-2</v>
      </c>
      <c r="AJ60" s="55">
        <f>IFERROR(Inv_SY!X62/Inv_SY!$Y62-1,"")</f>
        <v>7.6023126182116485E-3</v>
      </c>
      <c r="AK60" s="55">
        <f>IFERROR(Inv_SY!V62/Inv_SY!$Z62-1,"")</f>
        <v>-4.7175742089911044E-4</v>
      </c>
      <c r="AL60" s="55">
        <f>IFERROR(Inv_SY!W62/Inv_SY!$Z62-1,"")</f>
        <v>-2.2163103147624375E-2</v>
      </c>
      <c r="AM60" s="55">
        <f>IFERROR(Inv_SY!X62/Inv_SY!$Z62-1,"")</f>
        <v>0</v>
      </c>
    </row>
    <row r="61" spans="1:39" x14ac:dyDescent="0.3">
      <c r="A61" s="273">
        <f>YEAR(Table5[[#This Row],[Date]])+IF(MONTH(Table5[[#This Row],[Date]])&gt;=4,1,0)</f>
        <v>2026</v>
      </c>
      <c r="B61" s="273"/>
      <c r="C61" s="273">
        <f>YEAR(Table5[[#This Row],[Date]])</f>
        <v>2025</v>
      </c>
      <c r="D61" s="273"/>
      <c r="E61" s="273"/>
      <c r="F61" s="274" t="str">
        <f>TEXT(Table5[[#This Row],[Date]],"mmm-yy")</f>
        <v>May-25</v>
      </c>
      <c r="G61" s="273">
        <f t="shared" si="5"/>
        <v>31</v>
      </c>
      <c r="H61" s="275">
        <f t="shared" si="6"/>
        <v>45804</v>
      </c>
      <c r="I61" s="273">
        <v>8.02</v>
      </c>
      <c r="J61" s="55">
        <f>IFERROR(Inv_SY!J63/Inv_SY!$Y63-1,"")</f>
        <v>0.35399238172821534</v>
      </c>
      <c r="K61" s="55">
        <f>IFERROR(Inv_SY!K63/Inv_SY!$Y63-1,"")</f>
        <v>0.32153407194692973</v>
      </c>
      <c r="L61" s="55">
        <f>IFERROR(Inv_SY!L63/Inv_SY!$Y63-1,"")</f>
        <v>-1</v>
      </c>
      <c r="M61" s="55">
        <f>IFERROR(Inv_SY!M63/Inv_SY!$Y63-1,"")</f>
        <v>0.30215449557193108</v>
      </c>
      <c r="N61" s="55">
        <f>IFERROR(Inv_SY!N63/Inv_SY!$Y63-1,"")</f>
        <v>0.34081592397486538</v>
      </c>
      <c r="O61" s="55">
        <f>IFERROR(Inv_SY!O63/Inv_SY!$Y63-1,"")</f>
        <v>0.30214382847770915</v>
      </c>
      <c r="P61" s="55">
        <f>IFERROR(Inv_SY!P63/Inv_SY!$Y63-1,"")</f>
        <v>0.29957790744946178</v>
      </c>
      <c r="Q61" s="55">
        <f>IFERROR(Inv_SY!Q63/Inv_SY!$Y63-1,"")</f>
        <v>-1</v>
      </c>
      <c r="R61" s="55">
        <f>IFERROR(Inv_SY!R63/Inv_SY!$Y63-1,"")</f>
        <v>1.3936600529326437E-2</v>
      </c>
      <c r="S61" s="55">
        <f>IFERROR(Inv_SY!S63/Inv_SY!$Y63-1,"")</f>
        <v>4.8566551495480947E-2</v>
      </c>
      <c r="T61" s="55">
        <f>IFERROR(Inv_SY!T63/Inv_SY!$Y63-1,"")</f>
        <v>2.0767162680591644E-2</v>
      </c>
      <c r="U61" s="55">
        <f>IFERROR(Inv_SY!U63/Inv_SY!$Y63-1,"")</f>
        <v>-2.7885473412597728E-3</v>
      </c>
      <c r="V61" s="55">
        <f>IFERROR(Inv_SY!J63/Inv_SY!$Z63-1,"")</f>
        <v>0.32867279264869564</v>
      </c>
      <c r="W61" s="55">
        <f>IFERROR(Inv_SY!K63/Inv_SY!$Z63-1,"")</f>
        <v>0.29682145161920537</v>
      </c>
      <c r="X61" s="55">
        <f>IFERROR(Inv_SY!L63/Inv_SY!$Z63-1,"")</f>
        <v>-1</v>
      </c>
      <c r="Y61" s="55">
        <f>IFERROR(Inv_SY!M63/Inv_SY!$Z63-1,"")</f>
        <v>0.27780427234257421</v>
      </c>
      <c r="Z61" s="55">
        <f>IFERROR(Inv_SY!N63/Inv_SY!$Z63-1,"")</f>
        <v>0.31574273398912256</v>
      </c>
      <c r="AA61" s="55">
        <f>IFERROR(Inv_SY!O63/Inv_SY!$Z63-1,"")</f>
        <v>0.27779380472247506</v>
      </c>
      <c r="AB61" s="55">
        <f>IFERROR(Inv_SY!P63/Inv_SY!$Z63-1,"")</f>
        <v>0.27527586628772105</v>
      </c>
      <c r="AC61" s="55">
        <f>IFERROR(Inv_SY!Q63/Inv_SY!$Z63-1,"")</f>
        <v>-1</v>
      </c>
      <c r="AD61" s="55">
        <f>IFERROR(Inv_SY!R63/Inv_SY!$Z63-1,"")</f>
        <v>-5.0239626352311939E-3</v>
      </c>
      <c r="AE61" s="55">
        <f>IFERROR(Inv_SY!S63/Inv_SY!$Z63-1,"")</f>
        <v>2.8958409998770751E-2</v>
      </c>
      <c r="AF61" s="55">
        <f>IFERROR(Inv_SY!T63/Inv_SY!$Z63-1,"")</f>
        <v>1.6788683491633094E-3</v>
      </c>
      <c r="AG61" s="55">
        <f>IFERROR(Inv_SY!U63/Inv_SY!$Z63-1,"")</f>
        <v>-2.143635108627262E-2</v>
      </c>
      <c r="AH61" s="55">
        <f>IFERROR(Inv_SY!V63/Inv_SY!$Y63-1,"")</f>
        <v>-6.339184974386125E-3</v>
      </c>
      <c r="AI61" s="55">
        <f>IFERROR(Inv_SY!W63/Inv_SY!$Y63-1,"")</f>
        <v>-1.2717116335920209E-2</v>
      </c>
      <c r="AJ61" s="55">
        <f>IFERROR(Inv_SY!X63/Inv_SY!$Y63-1,"")</f>
        <v>1.9056301310306223E-2</v>
      </c>
      <c r="AK61" s="55">
        <f>IFERROR(Inv_SY!V63/Inv_SY!$Z63-1,"")</f>
        <v>-2.492059197518226E-2</v>
      </c>
      <c r="AL61" s="55">
        <f>IFERROR(Inv_SY!W63/Inv_SY!$Z63-1,"")</f>
        <v>-3.1179256342728223E-2</v>
      </c>
      <c r="AM61" s="55">
        <f>IFERROR(Inv_SY!X63/Inv_SY!$Z63-1,"")</f>
        <v>0</v>
      </c>
    </row>
    <row r="62" spans="1:39" x14ac:dyDescent="0.3">
      <c r="A62" s="273">
        <f>YEAR(Table5[[#This Row],[Date]])+IF(MONTH(Table5[[#This Row],[Date]])&gt;=4,1,0)</f>
        <v>2026</v>
      </c>
      <c r="B62" s="273"/>
      <c r="C62" s="273">
        <f>YEAR(Table5[[#This Row],[Date]])</f>
        <v>2025</v>
      </c>
      <c r="D62" s="273"/>
      <c r="E62" s="273"/>
      <c r="F62" s="274" t="str">
        <f>TEXT(Table5[[#This Row],[Date]],"mmm-yy")</f>
        <v>May-25</v>
      </c>
      <c r="G62" s="273">
        <f t="shared" si="5"/>
        <v>31</v>
      </c>
      <c r="H62" s="275">
        <f t="shared" si="6"/>
        <v>45805</v>
      </c>
      <c r="I62" s="273">
        <v>8.02</v>
      </c>
      <c r="J62" s="55">
        <f>IFERROR(Inv_SY!J64/Inv_SY!$Y64-1,"")</f>
        <v>0.32970485851638132</v>
      </c>
      <c r="K62" s="55">
        <f>IFERROR(Inv_SY!K64/Inv_SY!$Y64-1,"")</f>
        <v>0.33810741686403634</v>
      </c>
      <c r="L62" s="55">
        <f>IFERROR(Inv_SY!L64/Inv_SY!$Y64-1,"")</f>
        <v>-1</v>
      </c>
      <c r="M62" s="55">
        <f>IFERROR(Inv_SY!M64/Inv_SY!$Y64-1,"")</f>
        <v>0.35672932603887064</v>
      </c>
      <c r="N62" s="55">
        <f>IFERROR(Inv_SY!N64/Inv_SY!$Y64-1,"")</f>
        <v>0.29840011901455221</v>
      </c>
      <c r="O62" s="55">
        <f>IFERROR(Inv_SY!O64/Inv_SY!$Y64-1,"")</f>
        <v>0.32911237042776498</v>
      </c>
      <c r="P62" s="55">
        <f>IFERROR(Inv_SY!P64/Inv_SY!$Y64-1,"")</f>
        <v>0.28268814725770386</v>
      </c>
      <c r="Q62" s="55">
        <f>IFERROR(Inv_SY!Q64/Inv_SY!$Y64-1,"")</f>
        <v>-1</v>
      </c>
      <c r="R62" s="55">
        <f>IFERROR(Inv_SY!R64/Inv_SY!$Y64-1,"")</f>
        <v>9.7895208763028041E-3</v>
      </c>
      <c r="S62" s="55">
        <f>IFERROR(Inv_SY!S64/Inv_SY!$Y64-1,"")</f>
        <v>1.3296251639848933E-2</v>
      </c>
      <c r="T62" s="55">
        <f>IFERROR(Inv_SY!T64/Inv_SY!$Y64-1,"")</f>
        <v>-2.6645352532601585E-3</v>
      </c>
      <c r="U62" s="55">
        <f>IFERROR(Inv_SY!U64/Inv_SY!$Y64-1,"")</f>
        <v>4.411291116559779E-2</v>
      </c>
      <c r="V62" s="55">
        <f>IFERROR(Inv_SY!J64/Inv_SY!$Z64-1,"")</f>
        <v>0.30967906669274048</v>
      </c>
      <c r="W62" s="55">
        <f>IFERROR(Inv_SY!K64/Inv_SY!$Z64-1,"")</f>
        <v>0.31795507975241044</v>
      </c>
      <c r="X62" s="55">
        <f>IFERROR(Inv_SY!L64/Inv_SY!$Z64-1,"")</f>
        <v>-1</v>
      </c>
      <c r="Y62" s="55">
        <f>IFERROR(Inv_SY!M64/Inv_SY!$Z64-1,"")</f>
        <v>0.33629653685992644</v>
      </c>
      <c r="Z62" s="55">
        <f>IFERROR(Inv_SY!N64/Inv_SY!$Z64-1,"")</f>
        <v>0.27884578684779804</v>
      </c>
      <c r="AA62" s="55">
        <f>IFERROR(Inv_SY!O64/Inv_SY!$Z64-1,"")</f>
        <v>0.30909550166930244</v>
      </c>
      <c r="AB62" s="55">
        <f>IFERROR(Inv_SY!P64/Inv_SY!$Z64-1,"")</f>
        <v>0.26337044254517505</v>
      </c>
      <c r="AC62" s="55">
        <f>IFERROR(Inv_SY!Q64/Inv_SY!$Z64-1,"")</f>
        <v>-1</v>
      </c>
      <c r="AD62" s="55">
        <f>IFERROR(Inv_SY!R64/Inv_SY!$Z64-1,"")</f>
        <v>-5.4182409072597304E-3</v>
      </c>
      <c r="AE62" s="55">
        <f>IFERROR(Inv_SY!S64/Inv_SY!$Z64-1,"")</f>
        <v>-1.9643226605685626E-3</v>
      </c>
      <c r="AF62" s="55">
        <f>IFERROR(Inv_SY!T64/Inv_SY!$Z64-1,"")</f>
        <v>-1.7684734861793228E-2</v>
      </c>
      <c r="AG62" s="55">
        <f>IFERROR(Inv_SY!U64/Inv_SY!$Z64-1,"")</f>
        <v>2.8388227853011205E-2</v>
      </c>
      <c r="AH62" s="55">
        <f>IFERROR(Inv_SY!V64/Inv_SY!$Y64-1,"")</f>
        <v>5.5242830221833295E-3</v>
      </c>
      <c r="AI62" s="55">
        <f>IFERROR(Inv_SY!W64/Inv_SY!$Y64-1,"")</f>
        <v>-2.0814893014302394E-2</v>
      </c>
      <c r="AJ62" s="55">
        <f>IFERROR(Inv_SY!X64/Inv_SY!$Y64-1,"")</f>
        <v>1.5290609992118842E-2</v>
      </c>
      <c r="AK62" s="55">
        <f>IFERROR(Inv_SY!V64/Inv_SY!$Z64-1,"")</f>
        <v>-9.6192428786583406E-3</v>
      </c>
      <c r="AL62" s="55">
        <f>IFERROR(Inv_SY!W64/Inv_SY!$Z64-1,"")</f>
        <v>-3.5561742274659136E-2</v>
      </c>
      <c r="AM62" s="55">
        <f>IFERROR(Inv_SY!X64/Inv_SY!$Z64-1,"")</f>
        <v>0</v>
      </c>
    </row>
    <row r="63" spans="1:39" x14ac:dyDescent="0.3">
      <c r="A63" s="273">
        <f>YEAR(Table5[[#This Row],[Date]])+IF(MONTH(Table5[[#This Row],[Date]])&gt;=4,1,0)</f>
        <v>2026</v>
      </c>
      <c r="B63" s="273"/>
      <c r="C63" s="273">
        <f>YEAR(Table5[[#This Row],[Date]])</f>
        <v>2025</v>
      </c>
      <c r="D63" s="273"/>
      <c r="E63" s="273"/>
      <c r="F63" s="274" t="str">
        <f>TEXT(Table5[[#This Row],[Date]],"mmm-yy")</f>
        <v>May-25</v>
      </c>
      <c r="G63" s="273">
        <f t="shared" si="5"/>
        <v>31</v>
      </c>
      <c r="H63" s="275">
        <f t="shared" si="6"/>
        <v>45806</v>
      </c>
      <c r="I63" s="273">
        <v>8.02</v>
      </c>
      <c r="J63" s="55">
        <f>IFERROR(Inv_SY!J65/Inv_SY!$Y65-1,"")</f>
        <v>0.32955571996478428</v>
      </c>
      <c r="K63" s="55">
        <f>IFERROR(Inv_SY!K65/Inv_SY!$Y65-1,"")</f>
        <v>0.3290516230093472</v>
      </c>
      <c r="L63" s="55">
        <f>IFERROR(Inv_SY!L65/Inv_SY!$Y65-1,"")</f>
        <v>-1</v>
      </c>
      <c r="M63" s="55">
        <f>IFERROR(Inv_SY!M65/Inv_SY!$Y65-1,"")</f>
        <v>0.36519257417553086</v>
      </c>
      <c r="N63" s="55">
        <f>IFERROR(Inv_SY!N65/Inv_SY!$Y65-1,"")</f>
        <v>0.29960327053886648</v>
      </c>
      <c r="O63" s="55">
        <f>IFERROR(Inv_SY!O65/Inv_SY!$Y65-1,"")</f>
        <v>0.29255830898952317</v>
      </c>
      <c r="P63" s="55">
        <f>IFERROR(Inv_SY!P65/Inv_SY!$Y65-1,"")</f>
        <v>0.34782923459937143</v>
      </c>
      <c r="Q63" s="55">
        <f>IFERROR(Inv_SY!Q65/Inv_SY!$Y65-1,"")</f>
        <v>-1</v>
      </c>
      <c r="R63" s="55">
        <f>IFERROR(Inv_SY!R65/Inv_SY!$Y65-1,"")</f>
        <v>5.519973630036068E-2</v>
      </c>
      <c r="S63" s="55">
        <f>IFERROR(Inv_SY!S65/Inv_SY!$Y65-1,"")</f>
        <v>1.411780473631441E-2</v>
      </c>
      <c r="T63" s="55">
        <f>IFERROR(Inv_SY!T65/Inv_SY!$Y65-1,"")</f>
        <v>-1.3798619745574947E-2</v>
      </c>
      <c r="U63" s="55">
        <f>IFERROR(Inv_SY!U65/Inv_SY!$Y65-1,"")</f>
        <v>-1.9382647692910315E-2</v>
      </c>
      <c r="V63" s="55">
        <f>IFERROR(Inv_SY!J65/Inv_SY!$Z65-1,"")</f>
        <v>0.31902855945370767</v>
      </c>
      <c r="W63" s="55">
        <f>IFERROR(Inv_SY!K65/Inv_SY!$Z65-1,"")</f>
        <v>0.31852845383874873</v>
      </c>
      <c r="X63" s="55">
        <f>IFERROR(Inv_SY!L65/Inv_SY!$Z65-1,"")</f>
        <v>-1</v>
      </c>
      <c r="Y63" s="55">
        <f>IFERROR(Inv_SY!M65/Inv_SY!$Z65-1,"")</f>
        <v>0.35438324806676391</v>
      </c>
      <c r="Z63" s="55">
        <f>IFERROR(Inv_SY!N65/Inv_SY!$Z65-1,"")</f>
        <v>0.28931326762718323</v>
      </c>
      <c r="AA63" s="55">
        <f>IFERROR(Inv_SY!O65/Inv_SY!$Z65-1,"")</f>
        <v>0.28232408669681708</v>
      </c>
      <c r="AB63" s="55">
        <f>IFERROR(Inv_SY!P65/Inv_SY!$Z65-1,"")</f>
        <v>0.3371573879959624</v>
      </c>
      <c r="AC63" s="55">
        <f>IFERROR(Inv_SY!Q65/Inv_SY!$Z65-1,"")</f>
        <v>-1</v>
      </c>
      <c r="AD63" s="55">
        <f>IFERROR(Inv_SY!R65/Inv_SY!$Z65-1,"")</f>
        <v>4.6844872469927301E-2</v>
      </c>
      <c r="AE63" s="55">
        <f>IFERROR(Inv_SY!S65/Inv_SY!$Z65-1,"")</f>
        <v>6.088219554369001E-3</v>
      </c>
      <c r="AF63" s="55">
        <f>IFERROR(Inv_SY!T65/Inv_SY!$Z65-1,"")</f>
        <v>-2.1607168172908753E-2</v>
      </c>
      <c r="AG63" s="55">
        <f>IFERROR(Inv_SY!U65/Inv_SY!$Z65-1,"")</f>
        <v>-2.71469828859906E-2</v>
      </c>
      <c r="AH63" s="55">
        <f>IFERROR(Inv_SY!V65/Inv_SY!$Y65-1,"")</f>
        <v>5.373897544908246E-3</v>
      </c>
      <c r="AI63" s="55">
        <f>IFERROR(Inv_SY!W65/Inv_SY!$Y65-1,"")</f>
        <v>-1.3354892676232133E-2</v>
      </c>
      <c r="AJ63" s="55">
        <f>IFERROR(Inv_SY!X65/Inv_SY!$Y65-1,"")</f>
        <v>7.9809951313234428E-3</v>
      </c>
      <c r="AK63" s="55">
        <f>IFERROR(Inv_SY!V65/Inv_SY!$Z65-1,"")</f>
        <v>-2.5864551008479841E-3</v>
      </c>
      <c r="AL63" s="55">
        <f>IFERROR(Inv_SY!W65/Inv_SY!$Z65-1,"")</f>
        <v>-2.1166954447167874E-2</v>
      </c>
      <c r="AM63" s="55">
        <f>IFERROR(Inv_SY!X65/Inv_SY!$Z65-1,"")</f>
        <v>0</v>
      </c>
    </row>
    <row r="64" spans="1:39" x14ac:dyDescent="0.3">
      <c r="A64" s="273">
        <f>YEAR(Table5[[#This Row],[Date]])+IF(MONTH(Table5[[#This Row],[Date]])&gt;=4,1,0)</f>
        <v>2026</v>
      </c>
      <c r="B64" s="273"/>
      <c r="C64" s="273">
        <f>YEAR(Table5[[#This Row],[Date]])</f>
        <v>2025</v>
      </c>
      <c r="D64" s="273"/>
      <c r="E64" s="273"/>
      <c r="F64" s="274" t="str">
        <f>TEXT(Table5[[#This Row],[Date]],"mmm-yy")</f>
        <v>May-25</v>
      </c>
      <c r="G64" s="273">
        <f t="shared" si="5"/>
        <v>31</v>
      </c>
      <c r="H64" s="275">
        <f t="shared" si="6"/>
        <v>45807</v>
      </c>
      <c r="I64" s="273">
        <v>8.02</v>
      </c>
      <c r="J64" s="55">
        <f>IFERROR(Inv_SY!J66/Inv_SY!$Y66-1,"")</f>
        <v>0.36328940773407004</v>
      </c>
      <c r="K64" s="55">
        <f>IFERROR(Inv_SY!K66/Inv_SY!$Y66-1,"")</f>
        <v>0.3413738343334336</v>
      </c>
      <c r="L64" s="55">
        <f>IFERROR(Inv_SY!L66/Inv_SY!$Y66-1,"")</f>
        <v>-1</v>
      </c>
      <c r="M64" s="55">
        <f>IFERROR(Inv_SY!M66/Inv_SY!$Y66-1,"")</f>
        <v>0.32110450867987228</v>
      </c>
      <c r="N64" s="55">
        <f>IFERROR(Inv_SY!N66/Inv_SY!$Y66-1,"")</f>
        <v>0.33117743994106386</v>
      </c>
      <c r="O64" s="55">
        <f>IFERROR(Inv_SY!O66/Inv_SY!$Y66-1,"")</f>
        <v>0.29967249848303812</v>
      </c>
      <c r="P64" s="55">
        <f>IFERROR(Inv_SY!P66/Inv_SY!$Y66-1,"")</f>
        <v>0.3015117058762633</v>
      </c>
      <c r="Q64" s="55">
        <f>IFERROR(Inv_SY!Q66/Inv_SY!$Y66-1,"")</f>
        <v>-1</v>
      </c>
      <c r="R64" s="55">
        <f>IFERROR(Inv_SY!R66/Inv_SY!$Y66-1,"")</f>
        <v>7.9478564296644461E-3</v>
      </c>
      <c r="S64" s="55">
        <f>IFERROR(Inv_SY!S66/Inv_SY!$Y66-1,"")</f>
        <v>5.0426819965698089E-2</v>
      </c>
      <c r="T64" s="55">
        <f>IFERROR(Inv_SY!T66/Inv_SY!$Y66-1,"")</f>
        <v>-4.4236558958306027E-3</v>
      </c>
      <c r="U64" s="55">
        <f>IFERROR(Inv_SY!U66/Inv_SY!$Y66-1,"")</f>
        <v>-1.1055772197323344E-2</v>
      </c>
      <c r="V64" s="55">
        <f>IFERROR(Inv_SY!J66/Inv_SY!$Z66-1,"")</f>
        <v>0.35035411923355175</v>
      </c>
      <c r="W64" s="55">
        <f>IFERROR(Inv_SY!K66/Inv_SY!$Z66-1,"")</f>
        <v>0.3286464872010384</v>
      </c>
      <c r="X64" s="55">
        <f>IFERROR(Inv_SY!L66/Inv_SY!$Z66-1,"")</f>
        <v>-1</v>
      </c>
      <c r="Y64" s="55">
        <f>IFERROR(Inv_SY!M66/Inv_SY!$Z66-1,"")</f>
        <v>0.308569482835644</v>
      </c>
      <c r="Z64" s="55">
        <f>IFERROR(Inv_SY!N66/Inv_SY!$Z66-1,"")</f>
        <v>0.31854683917989557</v>
      </c>
      <c r="AA64" s="55">
        <f>IFERROR(Inv_SY!O66/Inv_SY!$Z66-1,"")</f>
        <v>0.28734082581787002</v>
      </c>
      <c r="AB64" s="55">
        <f>IFERROR(Inv_SY!P66/Inv_SY!$Z66-1,"")</f>
        <v>0.28916258227359903</v>
      </c>
      <c r="AC64" s="55">
        <f>IFERROR(Inv_SY!Q66/Inv_SY!$Z66-1,"")</f>
        <v>-1</v>
      </c>
      <c r="AD64" s="55">
        <f>IFERROR(Inv_SY!R66/Inv_SY!$Z66-1,"")</f>
        <v>-1.615847536954762E-3</v>
      </c>
      <c r="AE64" s="55">
        <f>IFERROR(Inv_SY!S66/Inv_SY!$Z66-1,"")</f>
        <v>4.0460063173006544E-2</v>
      </c>
      <c r="AF64" s="55">
        <f>IFERROR(Inv_SY!T66/Inv_SY!$Z66-1,"")</f>
        <v>-1.3869975336310292E-2</v>
      </c>
      <c r="AG64" s="55">
        <f>IFERROR(Inv_SY!U66/Inv_SY!$Z66-1,"")</f>
        <v>-2.0439164179229641E-2</v>
      </c>
      <c r="AH64" s="55">
        <f>IFERROR(Inv_SY!V66/Inv_SY!$Y66-1,"")</f>
        <v>5.686192605279361E-3</v>
      </c>
      <c r="AI64" s="55">
        <f>IFERROR(Inv_SY!W66/Inv_SY!$Y66-1,"")</f>
        <v>-1.5265375070290355E-2</v>
      </c>
      <c r="AJ64" s="55">
        <f>IFERROR(Inv_SY!X66/Inv_SY!$Y66-1,"")</f>
        <v>9.5791824650115487E-3</v>
      </c>
      <c r="AK64" s="55">
        <f>IFERROR(Inv_SY!V66/Inv_SY!$Z66-1,"")</f>
        <v>-3.8560520337067583E-3</v>
      </c>
      <c r="AL64" s="55">
        <f>IFERROR(Inv_SY!W66/Inv_SY!$Z66-1,"")</f>
        <v>-2.4608825109330046E-2</v>
      </c>
      <c r="AM64" s="55">
        <f>IFERROR(Inv_SY!X66/Inv_SY!$Z66-1,"")</f>
        <v>0</v>
      </c>
    </row>
    <row r="65" spans="1:39" x14ac:dyDescent="0.3">
      <c r="A65" s="273">
        <f>YEAR(Table5[[#This Row],[Date]])+IF(MONTH(Table5[[#This Row],[Date]])&gt;=4,1,0)</f>
        <v>2026</v>
      </c>
      <c r="B65" s="273"/>
      <c r="C65" s="273">
        <f>YEAR(Table5[[#This Row],[Date]])</f>
        <v>2025</v>
      </c>
      <c r="D65" s="273"/>
      <c r="E65" s="273"/>
      <c r="F65" s="274" t="str">
        <f>TEXT(Table5[[#This Row],[Date]],"mmm-yy")</f>
        <v>May-25</v>
      </c>
      <c r="G65" s="273">
        <f t="shared" si="5"/>
        <v>31</v>
      </c>
      <c r="H65" s="275">
        <f t="shared" si="6"/>
        <v>45808</v>
      </c>
      <c r="I65" s="273">
        <v>8.02</v>
      </c>
      <c r="J65" s="55">
        <f>IFERROR(Inv_SY!J67/Inv_SY!$Y67-1,"")</f>
        <v>0.33163917867305637</v>
      </c>
      <c r="K65" s="55">
        <f>IFERROR(Inv_SY!K67/Inv_SY!$Y67-1,"")</f>
        <v>0.3569274398047857</v>
      </c>
      <c r="L65" s="55">
        <f>IFERROR(Inv_SY!L67/Inv_SY!$Y67-1,"")</f>
        <v>-1</v>
      </c>
      <c r="M65" s="55">
        <f>IFERROR(Inv_SY!M67/Inv_SY!$Y67-1,"")</f>
        <v>0.31173756673320185</v>
      </c>
      <c r="N65" s="55">
        <f>IFERROR(Inv_SY!N67/Inv_SY!$Y67-1,"")</f>
        <v>0.33688098252001453</v>
      </c>
      <c r="O65" s="55">
        <f>IFERROR(Inv_SY!O67/Inv_SY!$Y67-1,"")</f>
        <v>0.30209406515107573</v>
      </c>
      <c r="P65" s="55">
        <f>IFERROR(Inv_SY!P67/Inv_SY!$Y67-1,"")</f>
        <v>0.30452459212881799</v>
      </c>
      <c r="Q65" s="55">
        <f>IFERROR(Inv_SY!Q67/Inv_SY!$Y67-1,"")</f>
        <v>-1</v>
      </c>
      <c r="R65" s="55">
        <f>IFERROR(Inv_SY!R67/Inv_SY!$Y67-1,"")</f>
        <v>1.1168094184562438E-2</v>
      </c>
      <c r="S65" s="55">
        <f>IFERROR(Inv_SY!S67/Inv_SY!$Y67-1,"")</f>
        <v>3.0944501976043481E-2</v>
      </c>
      <c r="T65" s="55">
        <f>IFERROR(Inv_SY!T67/Inv_SY!$Y67-1,"")</f>
        <v>2.3197173989258024E-2</v>
      </c>
      <c r="U65" s="55">
        <f>IFERROR(Inv_SY!U67/Inv_SY!$Y67-1,"")</f>
        <v>-8.7372677832175949E-3</v>
      </c>
      <c r="V65" s="55">
        <f>IFERROR(Inv_SY!J67/Inv_SY!$Z67-1,"")</f>
        <v>0.31434867362392205</v>
      </c>
      <c r="W65" s="55">
        <f>IFERROR(Inv_SY!K67/Inv_SY!$Z67-1,"")</f>
        <v>0.33930858244086171</v>
      </c>
      <c r="X65" s="55">
        <f>IFERROR(Inv_SY!L67/Inv_SY!$Z67-1,"")</f>
        <v>-1</v>
      </c>
      <c r="Y65" s="55">
        <f>IFERROR(Inv_SY!M67/Inv_SY!$Z67-1,"")</f>
        <v>0.29470547171528549</v>
      </c>
      <c r="Z65" s="55">
        <f>IFERROR(Inv_SY!N67/Inv_SY!$Z67-1,"")</f>
        <v>0.31952241591386543</v>
      </c>
      <c r="AA65" s="55">
        <f>IFERROR(Inv_SY!O67/Inv_SY!$Z67-1,"")</f>
        <v>0.28518718499276052</v>
      </c>
      <c r="AB65" s="55">
        <f>IFERROR(Inv_SY!P67/Inv_SY!$Z67-1,"")</f>
        <v>0.2875861530920516</v>
      </c>
      <c r="AC65" s="55">
        <f>IFERROR(Inv_SY!Q67/Inv_SY!$Z67-1,"")</f>
        <v>-1</v>
      </c>
      <c r="AD65" s="55">
        <f>IFERROR(Inv_SY!R67/Inv_SY!$Z67-1,"")</f>
        <v>-1.9612935039581281E-3</v>
      </c>
      <c r="AE65" s="55">
        <f>IFERROR(Inv_SY!S67/Inv_SY!$Z67-1,"")</f>
        <v>1.7558329954162399E-2</v>
      </c>
      <c r="AF65" s="55">
        <f>IFERROR(Inv_SY!T67/Inv_SY!$Z67-1,"")</f>
        <v>9.911596194265071E-3</v>
      </c>
      <c r="AG65" s="55">
        <f>IFERROR(Inv_SY!U67/Inv_SY!$Z67-1,"")</f>
        <v>-2.1608196748744035E-2</v>
      </c>
      <c r="AH65" s="55">
        <f>IFERROR(Inv_SY!V67/Inv_SY!$Y67-1,"")</f>
        <v>-6.7896974020875689E-4</v>
      </c>
      <c r="AI65" s="55">
        <f>IFERROR(Inv_SY!W67/Inv_SY!$Y67-1,"")</f>
        <v>-1.2476219134795685E-2</v>
      </c>
      <c r="AJ65" s="55">
        <f>IFERROR(Inv_SY!X67/Inv_SY!$Y67-1,"")</f>
        <v>1.3155188875004553E-2</v>
      </c>
      <c r="AK65" s="55">
        <f>IFERROR(Inv_SY!V67/Inv_SY!$Z67-1,"")</f>
        <v>-1.3654530685051847E-2</v>
      </c>
      <c r="AL65" s="55">
        <f>IFERROR(Inv_SY!W67/Inv_SY!$Z67-1,"")</f>
        <v>-2.529860014659846E-2</v>
      </c>
      <c r="AM65" s="55">
        <f>IFERROR(Inv_SY!X67/Inv_SY!$Z67-1,"")</f>
        <v>0</v>
      </c>
    </row>
    <row r="66" spans="1:39" x14ac:dyDescent="0.3">
      <c r="A66" s="273">
        <f>YEAR(Table5[[#This Row],[Date]])+IF(MONTH(Table5[[#This Row],[Date]])&gt;=4,1,0)</f>
        <v>2026</v>
      </c>
      <c r="B66" s="273"/>
      <c r="C66" s="273">
        <f>YEAR(Table5[[#This Row],[Date]])</f>
        <v>2025</v>
      </c>
      <c r="D66" s="273"/>
      <c r="E66" s="273"/>
      <c r="F66" s="274" t="str">
        <f>TEXT(Table5[[#This Row],[Date]],"mmm-yy")</f>
        <v>Jun-25</v>
      </c>
      <c r="G66" s="273">
        <f t="shared" si="5"/>
        <v>30</v>
      </c>
      <c r="H66" s="275">
        <f t="shared" si="6"/>
        <v>45809</v>
      </c>
      <c r="I66" s="273">
        <v>8.02</v>
      </c>
      <c r="J66" s="55">
        <f>IFERROR(Inv_SY!J68/Inv_SY!$Y68-1,"")</f>
        <v>0.32712497920304595</v>
      </c>
      <c r="K66" s="55">
        <f>IFERROR(Inv_SY!K68/Inv_SY!$Y68-1,"")</f>
        <v>0.32706333847015223</v>
      </c>
      <c r="L66" s="55">
        <f>IFERROR(Inv_SY!L68/Inv_SY!$Y68-1,"")</f>
        <v>-1</v>
      </c>
      <c r="M66" s="55">
        <f>IFERROR(Inv_SY!M68/Inv_SY!$Y68-1,"")</f>
        <v>0.33159833524733751</v>
      </c>
      <c r="N66" s="55">
        <f>IFERROR(Inv_SY!N68/Inv_SY!$Y68-1,"")</f>
        <v>0.30443007395613852</v>
      </c>
      <c r="O66" s="55">
        <f>IFERROR(Inv_SY!O68/Inv_SY!$Y68-1,"")</f>
        <v>0.32228567641897565</v>
      </c>
      <c r="P66" s="55">
        <f>IFERROR(Inv_SY!P68/Inv_SY!$Y68-1,"")</f>
        <v>0.29807097342990008</v>
      </c>
      <c r="Q66" s="55">
        <f>IFERROR(Inv_SY!Q68/Inv_SY!$Y68-1,"")</f>
        <v>-1</v>
      </c>
      <c r="R66" s="55">
        <f>IFERROR(Inv_SY!R68/Inv_SY!$Y68-1,"")</f>
        <v>1.9761689999330478E-2</v>
      </c>
      <c r="S66" s="55">
        <f>IFERROR(Inv_SY!S68/Inv_SY!$Y68-1,"")</f>
        <v>3.9511399937355751E-2</v>
      </c>
      <c r="T66" s="55">
        <f>IFERROR(Inv_SY!T68/Inv_SY!$Y68-1,"")</f>
        <v>6.8294195615137276E-3</v>
      </c>
      <c r="U66" s="55">
        <f>IFERROR(Inv_SY!U68/Inv_SY!$Y68-1,"")</f>
        <v>2.3368649560037591E-2</v>
      </c>
      <c r="V66" s="55">
        <f>IFERROR(Inv_SY!J68/Inv_SY!$Z68-1,"")</f>
        <v>0.299358718911235</v>
      </c>
      <c r="W66" s="55">
        <f>IFERROR(Inv_SY!K68/Inv_SY!$Z68-1,"")</f>
        <v>0.29929836783279029</v>
      </c>
      <c r="X66" s="55">
        <f>IFERROR(Inv_SY!L68/Inv_SY!$Z68-1,"")</f>
        <v>-1</v>
      </c>
      <c r="Y66" s="55">
        <f>IFERROR(Inv_SY!M68/Inv_SY!$Z68-1,"")</f>
        <v>0.30373848288978267</v>
      </c>
      <c r="Z66" s="55">
        <f>IFERROR(Inv_SY!N68/Inv_SY!$Z68-1,"")</f>
        <v>0.27713863906228076</v>
      </c>
      <c r="AA66" s="55">
        <f>IFERROR(Inv_SY!O68/Inv_SY!$Z68-1,"")</f>
        <v>0.2946206645723668</v>
      </c>
      <c r="AB66" s="55">
        <f>IFERROR(Inv_SY!P68/Inv_SY!$Z68-1,"")</f>
        <v>0.27091258436307464</v>
      </c>
      <c r="AC66" s="55">
        <f>IFERROR(Inv_SY!Q68/Inv_SY!$Z68-1,"")</f>
        <v>-1</v>
      </c>
      <c r="AD66" s="55">
        <f>IFERROR(Inv_SY!R68/Inv_SY!$Z68-1,"")</f>
        <v>-1.5738804735740963E-3</v>
      </c>
      <c r="AE66" s="55">
        <f>IFERROR(Inv_SY!S68/Inv_SY!$Z68-1,"")</f>
        <v>1.7762623778912578E-2</v>
      </c>
      <c r="AF66" s="55">
        <f>IFERROR(Inv_SY!T68/Inv_SY!$Z68-1,"")</f>
        <v>-1.4235580473212384E-2</v>
      </c>
      <c r="AG66" s="55">
        <f>IFERROR(Inv_SY!U68/Inv_SY!$Z68-1,"")</f>
        <v>1.9576138675085897E-3</v>
      </c>
      <c r="AH66" s="55">
        <f>IFERROR(Inv_SY!V68/Inv_SY!$Y68-1,"")</f>
        <v>-4.206930595909486E-3</v>
      </c>
      <c r="AI66" s="55">
        <f>IFERROR(Inv_SY!W68/Inv_SY!$Y68-1,"")</f>
        <v>-1.7162272448402516E-2</v>
      </c>
      <c r="AJ66" s="55">
        <f>IFERROR(Inv_SY!X68/Inv_SY!$Y68-1,"")</f>
        <v>2.136920304431178E-2</v>
      </c>
      <c r="AK66" s="55">
        <f>IFERROR(Inv_SY!V68/Inv_SY!$Z68-1,"")</f>
        <v>-2.5041026852962278E-2</v>
      </c>
      <c r="AL66" s="55">
        <f>IFERROR(Inv_SY!W68/Inv_SY!$Z68-1,"")</f>
        <v>-3.7725315564505646E-2</v>
      </c>
      <c r="AM66" s="55">
        <f>IFERROR(Inv_SY!X68/Inv_SY!$Z68-1,"")</f>
        <v>0</v>
      </c>
    </row>
    <row r="67" spans="1:39" x14ac:dyDescent="0.3">
      <c r="A67" s="273">
        <f>YEAR(Table5[[#This Row],[Date]])+IF(MONTH(Table5[[#This Row],[Date]])&gt;=4,1,0)</f>
        <v>2026</v>
      </c>
      <c r="B67" s="273"/>
      <c r="C67" s="273">
        <f>YEAR(Table5[[#This Row],[Date]])</f>
        <v>2025</v>
      </c>
      <c r="D67" s="273"/>
      <c r="E67" s="273"/>
      <c r="F67" s="274" t="str">
        <f>TEXT(Table5[[#This Row],[Date]],"mmm-yy")</f>
        <v>Jun-25</v>
      </c>
      <c r="G67" s="273">
        <f t="shared" si="5"/>
        <v>30</v>
      </c>
      <c r="H67" s="275">
        <f t="shared" si="6"/>
        <v>45810</v>
      </c>
      <c r="I67" s="273">
        <v>8.02</v>
      </c>
      <c r="J67" s="55">
        <f>IFERROR(Inv_SY!J69/Inv_SY!$Y69-1,"")</f>
        <v>0.31238733563186627</v>
      </c>
      <c r="K67" s="55">
        <f>IFERROR(Inv_SY!K69/Inv_SY!$Y69-1,"")</f>
        <v>0.31194638230616034</v>
      </c>
      <c r="L67" s="55">
        <f>IFERROR(Inv_SY!L69/Inv_SY!$Y69-1,"")</f>
        <v>-1</v>
      </c>
      <c r="M67" s="55">
        <f>IFERROR(Inv_SY!M69/Inv_SY!$Y69-1,"")</f>
        <v>0.32193257528156916</v>
      </c>
      <c r="N67" s="55">
        <f>IFERROR(Inv_SY!N69/Inv_SY!$Y69-1,"")</f>
        <v>0.29039087294314081</v>
      </c>
      <c r="O67" s="55">
        <f>IFERROR(Inv_SY!O69/Inv_SY!$Y69-1,"")</f>
        <v>0.28228624719990902</v>
      </c>
      <c r="P67" s="55">
        <f>IFERROR(Inv_SY!P69/Inv_SY!$Y69-1,"")</f>
        <v>0.31511558373585746</v>
      </c>
      <c r="Q67" s="55">
        <f>IFERROR(Inv_SY!Q69/Inv_SY!$Y69-1,"")</f>
        <v>-1</v>
      </c>
      <c r="R67" s="55">
        <f>IFERROR(Inv_SY!R69/Inv_SY!$Y69-1,"")</f>
        <v>6.7485143235419542E-2</v>
      </c>
      <c r="S67" s="55">
        <f>IFERROR(Inv_SY!S69/Inv_SY!$Y69-1,"")</f>
        <v>5.7288215443731749E-2</v>
      </c>
      <c r="T67" s="55">
        <f>IFERROR(Inv_SY!T69/Inv_SY!$Y69-1,"")</f>
        <v>2.4348114679083599E-2</v>
      </c>
      <c r="U67" s="55">
        <f>IFERROR(Inv_SY!U69/Inv_SY!$Y69-1,"")</f>
        <v>1.7220264070070268E-2</v>
      </c>
      <c r="V67" s="55">
        <f>IFERROR(Inv_SY!J69/Inv_SY!$Z69-1,"")</f>
        <v>0.26131346492466823</v>
      </c>
      <c r="W67" s="55">
        <f>IFERROR(Inv_SY!K69/Inv_SY!$Z69-1,"")</f>
        <v>0.26088967207631053</v>
      </c>
      <c r="X67" s="55">
        <f>IFERROR(Inv_SY!L69/Inv_SY!$Z69-1,"")</f>
        <v>-1</v>
      </c>
      <c r="Y67" s="55">
        <f>IFERROR(Inv_SY!M69/Inv_SY!$Z69-1,"")</f>
        <v>0.27048723471749114</v>
      </c>
      <c r="Z67" s="55">
        <f>IFERROR(Inv_SY!N69/Inv_SY!$Z69-1,"")</f>
        <v>0.24017303342496588</v>
      </c>
      <c r="AA67" s="55">
        <f>IFERROR(Inv_SY!O69/Inv_SY!$Z69-1,"")</f>
        <v>0.23238381350446757</v>
      </c>
      <c r="AB67" s="55">
        <f>IFERROR(Inv_SY!P69/Inv_SY!$Z69-1,"")</f>
        <v>0.26393553843588702</v>
      </c>
      <c r="AC67" s="55">
        <f>IFERROR(Inv_SY!Q69/Inv_SY!$Z69-1,"")</f>
        <v>-1</v>
      </c>
      <c r="AD67" s="55">
        <f>IFERROR(Inv_SY!R69/Inv_SY!$Z69-1,"")</f>
        <v>2.5942073817418088E-2</v>
      </c>
      <c r="AE67" s="55">
        <f>IFERROR(Inv_SY!S69/Inv_SY!$Z69-1,"")</f>
        <v>1.6141977477469815E-2</v>
      </c>
      <c r="AF67" s="55">
        <f>IFERROR(Inv_SY!T69/Inv_SY!$Z69-1,"")</f>
        <v>-1.5516201097091287E-2</v>
      </c>
      <c r="AG67" s="55">
        <f>IFERROR(Inv_SY!U69/Inv_SY!$Z69-1,"")</f>
        <v>-2.236665881260369E-2</v>
      </c>
      <c r="AH67" s="55">
        <f>IFERROR(Inv_SY!V69/Inv_SY!$Y69-1,"")</f>
        <v>-1.4066361703821695E-2</v>
      </c>
      <c r="AI67" s="55">
        <f>IFERROR(Inv_SY!W69/Inv_SY!$Y69-1,"")</f>
        <v>-2.6426245508809565E-2</v>
      </c>
      <c r="AJ67" s="55">
        <f>IFERROR(Inv_SY!X69/Inv_SY!$Y69-1,"")</f>
        <v>4.0492607212631704E-2</v>
      </c>
      <c r="AK67" s="55">
        <f>IFERROR(Inv_SY!V69/Inv_SY!$Z69-1,"")</f>
        <v>-5.2435710295540616E-2</v>
      </c>
      <c r="AL67" s="55">
        <f>IFERROR(Inv_SY!W69/Inv_SY!$Z69-1,"")</f>
        <v>-6.4314587395973621E-2</v>
      </c>
      <c r="AM67" s="55">
        <f>IFERROR(Inv_SY!X69/Inv_SY!$Z69-1,"")</f>
        <v>0</v>
      </c>
    </row>
    <row r="68" spans="1:39" x14ac:dyDescent="0.3">
      <c r="A68" s="273">
        <f>YEAR(Table5[[#This Row],[Date]])+IF(MONTH(Table5[[#This Row],[Date]])&gt;=4,1,0)</f>
        <v>2026</v>
      </c>
      <c r="B68" s="273"/>
      <c r="C68" s="273">
        <f>YEAR(Table5[[#This Row],[Date]])</f>
        <v>2025</v>
      </c>
      <c r="D68" s="273"/>
      <c r="E68" s="273"/>
      <c r="F68" s="274" t="str">
        <f>TEXT(Table5[[#This Row],[Date]],"mmm-yy")</f>
        <v>Jun-25</v>
      </c>
      <c r="G68" s="273">
        <f t="shared" si="5"/>
        <v>30</v>
      </c>
      <c r="H68" s="275">
        <f t="shared" si="6"/>
        <v>45811</v>
      </c>
      <c r="I68" s="273">
        <v>8.02</v>
      </c>
      <c r="J68" s="55">
        <f>IFERROR(Inv_SY!J70/Inv_SY!$Y70-1,"")</f>
        <v>0.34590090622898439</v>
      </c>
      <c r="K68" s="55">
        <f>IFERROR(Inv_SY!K70/Inv_SY!$Y70-1,"")</f>
        <v>0.32352242819304777</v>
      </c>
      <c r="L68" s="55">
        <f>IFERROR(Inv_SY!L70/Inv_SY!$Y70-1,"")</f>
        <v>-1</v>
      </c>
      <c r="M68" s="55">
        <f>IFERROR(Inv_SY!M70/Inv_SY!$Y70-1,"")</f>
        <v>0.30303233013143194</v>
      </c>
      <c r="N68" s="55">
        <f>IFERROR(Inv_SY!N70/Inv_SY!$Y70-1,"")</f>
        <v>0.32979951575206723</v>
      </c>
      <c r="O68" s="55">
        <f>IFERROR(Inv_SY!O70/Inv_SY!$Y70-1,"")</f>
        <v>0.29521322187723986</v>
      </c>
      <c r="P68" s="55">
        <f>IFERROR(Inv_SY!P70/Inv_SY!$Y70-1,"")</f>
        <v>0.29681877517123567</v>
      </c>
      <c r="Q68" s="55">
        <f>IFERROR(Inv_SY!Q70/Inv_SY!$Y70-1,"")</f>
        <v>-1</v>
      </c>
      <c r="R68" s="55">
        <f>IFERROR(Inv_SY!R70/Inv_SY!$Y70-1,"")</f>
        <v>2.5771952605263326E-2</v>
      </c>
      <c r="S68" s="55">
        <f>IFERROR(Inv_SY!S70/Inv_SY!$Y70-1,"")</f>
        <v>4.7363506855450765E-2</v>
      </c>
      <c r="T68" s="55">
        <f>IFERROR(Inv_SY!T70/Inv_SY!$Y70-1,"")</f>
        <v>2.9614171575199411E-2</v>
      </c>
      <c r="U68" s="55">
        <f>IFERROR(Inv_SY!U70/Inv_SY!$Y70-1,"")</f>
        <v>3.528711509798832E-3</v>
      </c>
      <c r="V68" s="55">
        <f>IFERROR(Inv_SY!J70/Inv_SY!$Z70-1,"")</f>
        <v>0.31238720263389186</v>
      </c>
      <c r="W68" s="55">
        <f>IFERROR(Inv_SY!K70/Inv_SY!$Z70-1,"")</f>
        <v>0.29056596152107095</v>
      </c>
      <c r="X68" s="55">
        <f>IFERROR(Inv_SY!L70/Inv_SY!$Z70-1,"")</f>
        <v>-1</v>
      </c>
      <c r="Y68" s="55">
        <f>IFERROR(Inv_SY!M70/Inv_SY!$Z70-1,"")</f>
        <v>0.27058607863940876</v>
      </c>
      <c r="Z68" s="55">
        <f>IFERROR(Inv_SY!N70/Inv_SY!$Z70-1,"")</f>
        <v>0.29668674600389822</v>
      </c>
      <c r="AA68" s="55">
        <f>IFERROR(Inv_SY!O70/Inv_SY!$Z70-1,"")</f>
        <v>0.26296167066010034</v>
      </c>
      <c r="AB68" s="55">
        <f>IFERROR(Inv_SY!P70/Inv_SY!$Z70-1,"")</f>
        <v>0.26452724475729794</v>
      </c>
      <c r="AC68" s="55">
        <f>IFERROR(Inv_SY!Q70/Inv_SY!$Z70-1,"")</f>
        <v>-1</v>
      </c>
      <c r="AD68" s="55">
        <f>IFERROR(Inv_SY!R70/Inv_SY!$Z70-1,"")</f>
        <v>2.2964334856445667E-4</v>
      </c>
      <c r="AE68" s="55">
        <f>IFERROR(Inv_SY!S70/Inv_SY!$Z70-1,"")</f>
        <v>2.1283555528708531E-2</v>
      </c>
      <c r="AF68" s="55">
        <f>IFERROR(Inv_SY!T70/Inv_SY!$Z70-1,"")</f>
        <v>3.9761888650462485E-3</v>
      </c>
      <c r="AG68" s="55">
        <f>IFERROR(Inv_SY!U70/Inv_SY!$Z70-1,"")</f>
        <v>-2.1459728301075787E-2</v>
      </c>
      <c r="AH68" s="55">
        <f>IFERROR(Inv_SY!V70/Inv_SY!$Y70-1,"")</f>
        <v>-7.6341341384920103E-3</v>
      </c>
      <c r="AI68" s="55">
        <f>IFERROR(Inv_SY!W70/Inv_SY!$Y70-1,"")</f>
        <v>-1.7902310843470826E-2</v>
      </c>
      <c r="AJ68" s="55">
        <f>IFERROR(Inv_SY!X70/Inv_SY!$Y70-1,"")</f>
        <v>2.5536444981962836E-2</v>
      </c>
      <c r="AK68" s="55">
        <f>IFERROR(Inv_SY!V70/Inv_SY!$Z70-1,"")</f>
        <v>-3.234461269783373E-2</v>
      </c>
      <c r="AL68" s="55">
        <f>IFERROR(Inv_SY!W70/Inv_SY!$Z70-1,"")</f>
        <v>-4.2357105920499682E-2</v>
      </c>
      <c r="AM68" s="55">
        <f>IFERROR(Inv_SY!X70/Inv_SY!$Z70-1,"")</f>
        <v>0</v>
      </c>
    </row>
    <row r="69" spans="1:39" x14ac:dyDescent="0.3">
      <c r="A69" s="273">
        <f>YEAR(Table5[[#This Row],[Date]])+IF(MONTH(Table5[[#This Row],[Date]])&gt;=4,1,0)</f>
        <v>2026</v>
      </c>
      <c r="B69" s="273"/>
      <c r="C69" s="273">
        <f>YEAR(Table5[[#This Row],[Date]])</f>
        <v>2025</v>
      </c>
      <c r="D69" s="273"/>
      <c r="E69" s="273"/>
      <c r="F69" s="274" t="str">
        <f>TEXT(Table5[[#This Row],[Date]],"mmm-yy")</f>
        <v>Jun-25</v>
      </c>
      <c r="G69" s="273">
        <f t="shared" si="5"/>
        <v>30</v>
      </c>
      <c r="H69" s="275">
        <f t="shared" si="6"/>
        <v>45812</v>
      </c>
      <c r="I69" s="273">
        <v>8.02</v>
      </c>
      <c r="J69" s="55">
        <f>IFERROR(Inv_SY!J71/Inv_SY!$Y71-1,"")</f>
        <v>0.33132877181180143</v>
      </c>
      <c r="K69" s="55">
        <f>IFERROR(Inv_SY!K71/Inv_SY!$Y71-1,"")</f>
        <v>0.35420603427202768</v>
      </c>
      <c r="L69" s="55">
        <f>IFERROR(Inv_SY!L71/Inv_SY!$Y71-1,"")</f>
        <v>-1</v>
      </c>
      <c r="M69" s="55">
        <f>IFERROR(Inv_SY!M71/Inv_SY!$Y71-1,"")</f>
        <v>0.3105970745971347</v>
      </c>
      <c r="N69" s="55">
        <f>IFERROR(Inv_SY!N71/Inv_SY!$Y71-1,"")</f>
        <v>0.33256062807150744</v>
      </c>
      <c r="O69" s="55">
        <f>IFERROR(Inv_SY!O71/Inv_SY!$Y71-1,"")</f>
        <v>0.29917422592258247</v>
      </c>
      <c r="P69" s="55">
        <f>IFERROR(Inv_SY!P71/Inv_SY!$Y71-1,"")</f>
        <v>0.30156741050139946</v>
      </c>
      <c r="Q69" s="55">
        <f>IFERROR(Inv_SY!Q71/Inv_SY!$Y71-1,"")</f>
        <v>-1</v>
      </c>
      <c r="R69" s="55">
        <f>IFERROR(Inv_SY!R71/Inv_SY!$Y71-1,"")</f>
        <v>1.761882952059346E-2</v>
      </c>
      <c r="S69" s="55">
        <f>IFERROR(Inv_SY!S71/Inv_SY!$Y71-1,"")</f>
        <v>3.4802030029708719E-2</v>
      </c>
      <c r="T69" s="55">
        <f>IFERROR(Inv_SY!T71/Inv_SY!$Y71-1,"")</f>
        <v>2.4291258080830769E-2</v>
      </c>
      <c r="U69" s="55">
        <f>IFERROR(Inv_SY!U71/Inv_SY!$Y71-1,"")</f>
        <v>-5.7053114846057351E-3</v>
      </c>
      <c r="V69" s="55">
        <f>IFERROR(Inv_SY!J71/Inv_SY!$Z71-1,"")</f>
        <v>0.30939615998550818</v>
      </c>
      <c r="W69" s="55">
        <f>IFERROR(Inv_SY!K71/Inv_SY!$Z71-1,"")</f>
        <v>0.33189653724065815</v>
      </c>
      <c r="X69" s="55">
        <f>IFERROR(Inv_SY!L71/Inv_SY!$Z71-1,"")</f>
        <v>-1</v>
      </c>
      <c r="Y69" s="55">
        <f>IFERROR(Inv_SY!M71/Inv_SY!$Z71-1,"")</f>
        <v>0.28900600144794142</v>
      </c>
      <c r="Z69" s="55">
        <f>IFERROR(Inv_SY!N71/Inv_SY!$Z71-1,"")</f>
        <v>0.31060772236608991</v>
      </c>
      <c r="AA69" s="55">
        <f>IFERROR(Inv_SY!O71/Inv_SY!$Z71-1,"")</f>
        <v>0.27777133537053111</v>
      </c>
      <c r="AB69" s="55">
        <f>IFERROR(Inv_SY!P71/Inv_SY!$Z71-1,"")</f>
        <v>0.28012509408437225</v>
      </c>
      <c r="AC69" s="55">
        <f>IFERROR(Inv_SY!Q71/Inv_SY!$Z71-1,"")</f>
        <v>-1</v>
      </c>
      <c r="AD69" s="55">
        <f>IFERROR(Inv_SY!R71/Inv_SY!$Z71-1,"")</f>
        <v>8.5434636093917327E-4</v>
      </c>
      <c r="AE69" s="55">
        <f>IFERROR(Inv_SY!S71/Inv_SY!$Z71-1,"")</f>
        <v>1.7754466931665602E-2</v>
      </c>
      <c r="AF69" s="55">
        <f>IFERROR(Inv_SY!T71/Inv_SY!$Z71-1,"")</f>
        <v>7.4168518213018064E-3</v>
      </c>
      <c r="AG69" s="55">
        <f>IFERROR(Inv_SY!U71/Inv_SY!$Z71-1,"")</f>
        <v>-2.2085547460784172E-2</v>
      </c>
      <c r="AH69" s="55">
        <f>IFERROR(Inv_SY!V71/Inv_SY!$Y71-1,"")</f>
        <v>-1.7203459847018321E-3</v>
      </c>
      <c r="AI69" s="55">
        <f>IFERROR(Inv_SY!W71/Inv_SY!$Y71-1,"")</f>
        <v>-1.502982672585218E-2</v>
      </c>
      <c r="AJ69" s="55">
        <f>IFERROR(Inv_SY!X71/Inv_SY!$Y71-1,"")</f>
        <v>1.6750172710553679E-2</v>
      </c>
      <c r="AK69" s="55">
        <f>IFERROR(Inv_SY!V71/Inv_SY!$Z71-1,"")</f>
        <v>-1.8166231185400283E-2</v>
      </c>
      <c r="AL69" s="55">
        <f>IFERROR(Inv_SY!W71/Inv_SY!$Z71-1,"")</f>
        <v>-3.125644852528886E-2</v>
      </c>
      <c r="AM69" s="55">
        <f>IFERROR(Inv_SY!X71/Inv_SY!$Z71-1,"")</f>
        <v>0</v>
      </c>
    </row>
    <row r="70" spans="1:39" x14ac:dyDescent="0.3">
      <c r="A70" s="273">
        <f>YEAR(Table5[[#This Row],[Date]])+IF(MONTH(Table5[[#This Row],[Date]])&gt;=4,1,0)</f>
        <v>2026</v>
      </c>
      <c r="B70" s="273"/>
      <c r="C70" s="273">
        <f>YEAR(Table5[[#This Row],[Date]])</f>
        <v>2025</v>
      </c>
      <c r="D70" s="273"/>
      <c r="E70" s="273"/>
      <c r="F70" s="274" t="str">
        <f>TEXT(Table5[[#This Row],[Date]],"mmm-yy")</f>
        <v>Jun-25</v>
      </c>
      <c r="G70" s="273">
        <f t="shared" si="5"/>
        <v>30</v>
      </c>
      <c r="H70" s="275">
        <f t="shared" si="6"/>
        <v>45813</v>
      </c>
      <c r="I70" s="273">
        <v>8.02</v>
      </c>
      <c r="J70" s="55">
        <f>IFERROR(Inv_SY!J72/Inv_SY!$Y72-1,"")</f>
        <v>0.34023980382164565</v>
      </c>
      <c r="K70" s="55">
        <f>IFERROR(Inv_SY!K72/Inv_SY!$Y72-1,"")</f>
        <v>0.33937552330070564</v>
      </c>
      <c r="L70" s="55">
        <f>IFERROR(Inv_SY!L72/Inv_SY!$Y72-1,"")</f>
        <v>-1</v>
      </c>
      <c r="M70" s="55">
        <f>IFERROR(Inv_SY!M72/Inv_SY!$Y72-1,"")</f>
        <v>0.34014514452649491</v>
      </c>
      <c r="N70" s="55">
        <f>IFERROR(Inv_SY!N72/Inv_SY!$Y72-1,"")</f>
        <v>0.30893301301723564</v>
      </c>
      <c r="O70" s="55">
        <f>IFERROR(Inv_SY!O72/Inv_SY!$Y72-1,"")</f>
        <v>0.32298819788235811</v>
      </c>
      <c r="P70" s="55">
        <f>IFERROR(Inv_SY!P72/Inv_SY!$Y72-1,"")</f>
        <v>0.30120266134141849</v>
      </c>
      <c r="Q70" s="55">
        <f>IFERROR(Inv_SY!Q72/Inv_SY!$Y72-1,"")</f>
        <v>-1</v>
      </c>
      <c r="R70" s="55">
        <f>IFERROR(Inv_SY!R72/Inv_SY!$Y72-1,"")</f>
        <v>9.3782136057747323E-3</v>
      </c>
      <c r="S70" s="55">
        <f>IFERROR(Inv_SY!S72/Inv_SY!$Y72-1,"")</f>
        <v>2.9557115496883668E-2</v>
      </c>
      <c r="T70" s="55">
        <f>IFERROR(Inv_SY!T72/Inv_SY!$Y72-1,"")</f>
        <v>-2.911727586884405E-3</v>
      </c>
      <c r="U70" s="55">
        <f>IFERROR(Inv_SY!U72/Inv_SY!$Y72-1,"")</f>
        <v>1.1172521897549581E-2</v>
      </c>
      <c r="V70" s="55">
        <f>IFERROR(Inv_SY!J72/Inv_SY!$Z72-1,"")</f>
        <v>0.32591359593827929</v>
      </c>
      <c r="W70" s="55">
        <f>IFERROR(Inv_SY!K72/Inv_SY!$Z72-1,"")</f>
        <v>0.32505855395985761</v>
      </c>
      <c r="X70" s="55">
        <f>IFERROR(Inv_SY!L72/Inv_SY!$Z72-1,"")</f>
        <v>-1</v>
      </c>
      <c r="Y70" s="55">
        <f>IFERROR(Inv_SY!M72/Inv_SY!$Z72-1,"")</f>
        <v>0.3258199484834996</v>
      </c>
      <c r="Z70" s="55">
        <f>IFERROR(Inv_SY!N72/Inv_SY!$Z72-1,"")</f>
        <v>0.29494145240516079</v>
      </c>
      <c r="AA70" s="55">
        <f>IFERROR(Inv_SY!O72/Inv_SY!$Z72-1,"")</f>
        <v>0.30884639736572073</v>
      </c>
      <c r="AB70" s="55">
        <f>IFERROR(Inv_SY!P72/Inv_SY!$Z72-1,"")</f>
        <v>0.28729373267685299</v>
      </c>
      <c r="AC70" s="55">
        <f>IFERROR(Inv_SY!Q72/Inv_SY!$Z72-1,"")</f>
        <v>-1</v>
      </c>
      <c r="AD70" s="55">
        <f>IFERROR(Inv_SY!R72/Inv_SY!$Z72-1,"")</f>
        <v>-1.411319789535237E-3</v>
      </c>
      <c r="AE70" s="55">
        <f>IFERROR(Inv_SY!S72/Inv_SY!$Z72-1,"")</f>
        <v>1.8551884028344068E-2</v>
      </c>
      <c r="AF70" s="55">
        <f>IFERROR(Inv_SY!T72/Inv_SY!$Z72-1,"")</f>
        <v>-1.3569890273834262E-2</v>
      </c>
      <c r="AG70" s="55">
        <f>IFERROR(Inv_SY!U72/Inv_SY!$Z72-1,"")</f>
        <v>3.6380862598051067E-4</v>
      </c>
      <c r="AH70" s="55">
        <f>IFERROR(Inv_SY!V72/Inv_SY!$Y72-1,"")</f>
        <v>4.2697169809817748E-3</v>
      </c>
      <c r="AI70" s="55">
        <f>IFERROR(Inv_SY!W72/Inv_SY!$Y72-1,"")</f>
        <v>-1.5074499379512329E-2</v>
      </c>
      <c r="AJ70" s="55">
        <f>IFERROR(Inv_SY!X72/Inv_SY!$Y72-1,"")</f>
        <v>1.0804782398530666E-2</v>
      </c>
      <c r="AK70" s="55">
        <f>IFERROR(Inv_SY!V72/Inv_SY!$Z72-1,"")</f>
        <v>-6.4652102278758283E-3</v>
      </c>
      <c r="AL70" s="55">
        <f>IFERROR(Inv_SY!W72/Inv_SY!$Z72-1,"")</f>
        <v>-2.5602650708314023E-2</v>
      </c>
      <c r="AM70" s="55">
        <f>IFERROR(Inv_SY!X72/Inv_SY!$Z72-1,"")</f>
        <v>0</v>
      </c>
    </row>
    <row r="71" spans="1:39" x14ac:dyDescent="0.3">
      <c r="A71" s="273">
        <f>YEAR(Table5[[#This Row],[Date]])+IF(MONTH(Table5[[#This Row],[Date]])&gt;=4,1,0)</f>
        <v>2026</v>
      </c>
      <c r="B71" s="273"/>
      <c r="C71" s="273">
        <f>YEAR(Table5[[#This Row],[Date]])</f>
        <v>2025</v>
      </c>
      <c r="D71" s="273"/>
      <c r="E71" s="273"/>
      <c r="F71" s="274" t="str">
        <f>TEXT(Table5[[#This Row],[Date]],"mmm-yy")</f>
        <v>Jun-25</v>
      </c>
      <c r="G71" s="273">
        <f t="shared" si="5"/>
        <v>30</v>
      </c>
      <c r="H71" s="275">
        <f t="shared" si="6"/>
        <v>45814</v>
      </c>
      <c r="I71" s="273">
        <v>8.02</v>
      </c>
      <c r="J71" s="55">
        <f>IFERROR(Inv_SY!J73/Inv_SY!$Y73-1,"")</f>
        <v>0.32971595736470194</v>
      </c>
      <c r="K71" s="55">
        <f>IFERROR(Inv_SY!K73/Inv_SY!$Y73-1,"")</f>
        <v>0.3295176816940939</v>
      </c>
      <c r="L71" s="55">
        <f>IFERROR(Inv_SY!L73/Inv_SY!$Y73-1,"")</f>
        <v>-1</v>
      </c>
      <c r="M71" s="55">
        <f>IFERROR(Inv_SY!M73/Inv_SY!$Y73-1,"")</f>
        <v>0.33670784990156655</v>
      </c>
      <c r="N71" s="55">
        <f>IFERROR(Inv_SY!N73/Inv_SY!$Y73-1,"")</f>
        <v>0.29488574792263944</v>
      </c>
      <c r="O71" s="55">
        <f>IFERROR(Inv_SY!O73/Inv_SY!$Y73-1,"")</f>
        <v>0.28690531470171354</v>
      </c>
      <c r="P71" s="55">
        <f>IFERROR(Inv_SY!P73/Inv_SY!$Y73-1,"")</f>
        <v>0.3172954492904918</v>
      </c>
      <c r="Q71" s="55">
        <f>IFERROR(Inv_SY!Q73/Inv_SY!$Y73-1,"")</f>
        <v>-1</v>
      </c>
      <c r="R71" s="55">
        <f>IFERROR(Inv_SY!R73/Inv_SY!$Y73-1,"")</f>
        <v>5.0209485940872156E-2</v>
      </c>
      <c r="S71" s="55">
        <f>IFERROR(Inv_SY!S73/Inv_SY!$Y73-1,"")</f>
        <v>4.2496994196329574E-2</v>
      </c>
      <c r="T71" s="55">
        <f>IFERROR(Inv_SY!T73/Inv_SY!$Y73-1,"")</f>
        <v>9.9728112710300021E-3</v>
      </c>
      <c r="U71" s="55">
        <f>IFERROR(Inv_SY!U73/Inv_SY!$Y73-1,"")</f>
        <v>2.6711443836999749E-3</v>
      </c>
      <c r="V71" s="55">
        <f>IFERROR(Inv_SY!J73/Inv_SY!$Z73-1,"")</f>
        <v>0.29695351521925129</v>
      </c>
      <c r="W71" s="55">
        <f>IFERROR(Inv_SY!K73/Inv_SY!$Z73-1,"")</f>
        <v>0.29676012479887381</v>
      </c>
      <c r="X71" s="55">
        <f>IFERROR(Inv_SY!L73/Inv_SY!$Z73-1,"")</f>
        <v>-1</v>
      </c>
      <c r="Y71" s="55">
        <f>IFERROR(Inv_SY!M73/Inv_SY!$Z73-1,"")</f>
        <v>0.30377313677338669</v>
      </c>
      <c r="Z71" s="55">
        <f>IFERROR(Inv_SY!N73/Inv_SY!$Z73-1,"")</f>
        <v>0.26298147606193223</v>
      </c>
      <c r="AA71" s="55">
        <f>IFERROR(Inv_SY!O73/Inv_SY!$Z73-1,"")</f>
        <v>0.25519767015847838</v>
      </c>
      <c r="AB71" s="55">
        <f>IFERROR(Inv_SY!P73/Inv_SY!$Z73-1,"")</f>
        <v>0.28483903203324723</v>
      </c>
      <c r="AC71" s="55">
        <f>IFERROR(Inv_SY!Q73/Inv_SY!$Z73-1,"")</f>
        <v>-1</v>
      </c>
      <c r="AD71" s="55">
        <f>IFERROR(Inv_SY!R73/Inv_SY!$Z73-1,"")</f>
        <v>2.4333713500018117E-2</v>
      </c>
      <c r="AE71" s="55">
        <f>IFERROR(Inv_SY!S73/Inv_SY!$Z73-1,"")</f>
        <v>1.6811247349421743E-2</v>
      </c>
      <c r="AF71" s="55">
        <f>IFERROR(Inv_SY!T73/Inv_SY!$Z73-1,"")</f>
        <v>-1.4911582733929452E-2</v>
      </c>
      <c r="AG71" s="55">
        <f>IFERROR(Inv_SY!U73/Inv_SY!$Z73-1,"")</f>
        <v>-2.2033346208326421E-2</v>
      </c>
      <c r="AH71" s="55">
        <f>IFERROR(Inv_SY!V73/Inv_SY!$Y73-1,"")</f>
        <v>-1.66300534892172E-3</v>
      </c>
      <c r="AI71" s="55">
        <f>IFERROR(Inv_SY!W73/Inv_SY!$Y73-1,"")</f>
        <v>-2.3598071290292011E-2</v>
      </c>
      <c r="AJ71" s="55">
        <f>IFERROR(Inv_SY!X73/Inv_SY!$Y73-1,"")</f>
        <v>2.5261076639213398E-2</v>
      </c>
      <c r="AK71" s="55">
        <f>IFERROR(Inv_SY!V73/Inv_SY!$Z73-1,"")</f>
        <v>-2.6260708225061657E-2</v>
      </c>
      <c r="AL71" s="55">
        <f>IFERROR(Inv_SY!W73/Inv_SY!$Z73-1,"")</f>
        <v>-4.7655323158921292E-2</v>
      </c>
      <c r="AM71" s="55">
        <f>IFERROR(Inv_SY!X73/Inv_SY!$Z73-1,"")</f>
        <v>0</v>
      </c>
    </row>
    <row r="72" spans="1:39" x14ac:dyDescent="0.3">
      <c r="A72" s="273">
        <f>YEAR(Table5[[#This Row],[Date]])+IF(MONTH(Table5[[#This Row],[Date]])&gt;=4,1,0)</f>
        <v>2026</v>
      </c>
      <c r="B72" s="273"/>
      <c r="C72" s="273">
        <f>YEAR(Table5[[#This Row],[Date]])</f>
        <v>2025</v>
      </c>
      <c r="D72" s="273"/>
      <c r="E72" s="273"/>
      <c r="F72" s="274" t="str">
        <f>TEXT(Table5[[#This Row],[Date]],"mmm-yy")</f>
        <v>Jun-25</v>
      </c>
      <c r="G72" s="273">
        <f t="shared" si="5"/>
        <v>30</v>
      </c>
      <c r="H72" s="275">
        <f t="shared" si="6"/>
        <v>45815</v>
      </c>
      <c r="I72" s="273">
        <v>8.02</v>
      </c>
      <c r="J72" s="55">
        <f>IFERROR(Inv_SY!J74/Inv_SY!$Y74-1,"")</f>
        <v>0.36731226337123202</v>
      </c>
      <c r="K72" s="55">
        <f>IFERROR(Inv_SY!K74/Inv_SY!$Y74-1,"")</f>
        <v>0.32437642146722756</v>
      </c>
      <c r="L72" s="55">
        <f>IFERROR(Inv_SY!L74/Inv_SY!$Y74-1,"")</f>
        <v>-1</v>
      </c>
      <c r="M72" s="55">
        <f>IFERROR(Inv_SY!M74/Inv_SY!$Y74-1,"")</f>
        <v>0.30424070164371608</v>
      </c>
      <c r="N72" s="55">
        <f>IFERROR(Inv_SY!N74/Inv_SY!$Y74-1,"")</f>
        <v>0.34050008634030893</v>
      </c>
      <c r="O72" s="55">
        <f>IFERROR(Inv_SY!O74/Inv_SY!$Y74-1,"")</f>
        <v>0.29011693541282191</v>
      </c>
      <c r="P72" s="55">
        <f>IFERROR(Inv_SY!P74/Inv_SY!$Y74-1,"")</f>
        <v>0.29108028437893063</v>
      </c>
      <c r="Q72" s="55">
        <f>IFERROR(Inv_SY!Q74/Inv_SY!$Y74-1,"")</f>
        <v>-1</v>
      </c>
      <c r="R72" s="55">
        <f>IFERROR(Inv_SY!R74/Inv_SY!$Y74-1,"")</f>
        <v>1.3447758724042469E-2</v>
      </c>
      <c r="S72" s="55">
        <f>IFERROR(Inv_SY!S74/Inv_SY!$Y74-1,"")</f>
        <v>3.4724891193765872E-2</v>
      </c>
      <c r="T72" s="55">
        <f>IFERROR(Inv_SY!T74/Inv_SY!$Y74-1,"")</f>
        <v>4.1331784427187657E-2</v>
      </c>
      <c r="U72" s="55">
        <f>IFERROR(Inv_SY!U74/Inv_SY!$Y74-1,"")</f>
        <v>-6.7311183313714107E-3</v>
      </c>
      <c r="V72" s="55">
        <f>IFERROR(Inv_SY!J74/Inv_SY!$Z74-1,"")</f>
        <v>0.34085444271481147</v>
      </c>
      <c r="W72" s="55">
        <f>IFERROR(Inv_SY!K74/Inv_SY!$Z74-1,"")</f>
        <v>0.29874941966269675</v>
      </c>
      <c r="X72" s="55">
        <f>IFERROR(Inv_SY!L74/Inv_SY!$Z74-1,"")</f>
        <v>-1</v>
      </c>
      <c r="Y72" s="55">
        <f>IFERROR(Inv_SY!M74/Inv_SY!$Z74-1,"")</f>
        <v>0.27900333085336548</v>
      </c>
      <c r="Z72" s="55">
        <f>IFERROR(Inv_SY!N74/Inv_SY!$Z74-1,"")</f>
        <v>0.31456108774838398</v>
      </c>
      <c r="AA72" s="55">
        <f>IFERROR(Inv_SY!O74/Inv_SY!$Z74-1,"")</f>
        <v>0.26515286289086304</v>
      </c>
      <c r="AB72" s="55">
        <f>IFERROR(Inv_SY!P74/Inv_SY!$Z74-1,"")</f>
        <v>0.26609757082312924</v>
      </c>
      <c r="AC72" s="55">
        <f>IFERROR(Inv_SY!Q74/Inv_SY!$Z74-1,"")</f>
        <v>-1</v>
      </c>
      <c r="AD72" s="55">
        <f>IFERROR(Inv_SY!R74/Inv_SY!$Z74-1,"")</f>
        <v>-6.1626987868560468E-3</v>
      </c>
      <c r="AE72" s="55">
        <f>IFERROR(Inv_SY!S74/Inv_SY!$Z74-1,"")</f>
        <v>1.47027160598725E-2</v>
      </c>
      <c r="AF72" s="55">
        <f>IFERROR(Inv_SY!T74/Inv_SY!$Z74-1,"")</f>
        <v>2.1181764322581564E-2</v>
      </c>
      <c r="AG72" s="55">
        <f>IFERROR(Inv_SY!U74/Inv_SY!$Z74-1,"")</f>
        <v>-2.5951109725288135E-2</v>
      </c>
      <c r="AH72" s="55">
        <f>IFERROR(Inv_SY!V74/Inv_SY!$Y74-1,"")</f>
        <v>-1.7961416291037979E-3</v>
      </c>
      <c r="AI72" s="55">
        <f>IFERROR(Inv_SY!W74/Inv_SY!$Y74-1,"")</f>
        <v>-1.7935918625588521E-2</v>
      </c>
      <c r="AJ72" s="55">
        <f>IFERROR(Inv_SY!X74/Inv_SY!$Y74-1,"")</f>
        <v>1.9732060254692207E-2</v>
      </c>
      <c r="AK72" s="55">
        <f>IFERROR(Inv_SY!V74/Inv_SY!$Z74-1,"")</f>
        <v>-2.1111626007344508E-2</v>
      </c>
      <c r="AL72" s="55">
        <f>IFERROR(Inv_SY!W74/Inv_SY!$Z74-1,"")</f>
        <v>-3.693909444297816E-2</v>
      </c>
      <c r="AM72" s="55">
        <f>IFERROR(Inv_SY!X74/Inv_SY!$Z74-1,"")</f>
        <v>0</v>
      </c>
    </row>
    <row r="73" spans="1:39" x14ac:dyDescent="0.3">
      <c r="A73" s="273">
        <f>YEAR(Table5[[#This Row],[Date]])+IF(MONTH(Table5[[#This Row],[Date]])&gt;=4,1,0)</f>
        <v>2026</v>
      </c>
      <c r="B73" s="273"/>
      <c r="C73" s="273">
        <f>YEAR(Table5[[#This Row],[Date]])</f>
        <v>2025</v>
      </c>
      <c r="D73" s="273"/>
      <c r="E73" s="273"/>
      <c r="F73" s="274" t="str">
        <f>TEXT(Table5[[#This Row],[Date]],"mmm-yy")</f>
        <v>Jun-25</v>
      </c>
      <c r="G73" s="273">
        <f t="shared" si="5"/>
        <v>30</v>
      </c>
      <c r="H73" s="275">
        <f t="shared" si="6"/>
        <v>45816</v>
      </c>
      <c r="I73" s="273">
        <v>8.02</v>
      </c>
      <c r="J73" s="55">
        <f>IFERROR(Inv_SY!J75/Inv_SY!$Y75-1,"")</f>
        <v>0.33013871276041895</v>
      </c>
      <c r="K73" s="55">
        <f>IFERROR(Inv_SY!K75/Inv_SY!$Y75-1,"")</f>
        <v>0.37165042066168663</v>
      </c>
      <c r="L73" s="55">
        <f>IFERROR(Inv_SY!L75/Inv_SY!$Y75-1,"")</f>
        <v>-1</v>
      </c>
      <c r="M73" s="55">
        <f>IFERROR(Inv_SY!M75/Inv_SY!$Y75-1,"")</f>
        <v>0.30928396183352858</v>
      </c>
      <c r="N73" s="55">
        <f>IFERROR(Inv_SY!N75/Inv_SY!$Y75-1,"")</f>
        <v>0.34358974656158736</v>
      </c>
      <c r="O73" s="55">
        <f>IFERROR(Inv_SY!O75/Inv_SY!$Y75-1,"")</f>
        <v>0.2899911209534376</v>
      </c>
      <c r="P73" s="55">
        <f>IFERROR(Inv_SY!P75/Inv_SY!$Y75-1,"")</f>
        <v>0.29144076349657633</v>
      </c>
      <c r="Q73" s="55">
        <f>IFERROR(Inv_SY!Q75/Inv_SY!$Y75-1,"")</f>
        <v>-1</v>
      </c>
      <c r="R73" s="55">
        <f>IFERROR(Inv_SY!R75/Inv_SY!$Y75-1,"")</f>
        <v>8.7159405712573523E-3</v>
      </c>
      <c r="S73" s="55">
        <f>IFERROR(Inv_SY!S75/Inv_SY!$Y75-1,"")</f>
        <v>2.8896493849646321E-2</v>
      </c>
      <c r="T73" s="55">
        <f>IFERROR(Inv_SY!T75/Inv_SY!$Y75-1,"")</f>
        <v>3.6754126949362975E-2</v>
      </c>
      <c r="U73" s="55">
        <f>IFERROR(Inv_SY!U75/Inv_SY!$Y75-1,"")</f>
        <v>-1.0107322199455315E-2</v>
      </c>
      <c r="V73" s="55">
        <f>IFERROR(Inv_SY!J75/Inv_SY!$Z75-1,"")</f>
        <v>0.31033146780504461</v>
      </c>
      <c r="W73" s="55">
        <f>IFERROR(Inv_SY!K75/Inv_SY!$Z75-1,"")</f>
        <v>0.35122502020190627</v>
      </c>
      <c r="X73" s="55">
        <f>IFERROR(Inv_SY!L75/Inv_SY!$Z75-1,"")</f>
        <v>-1</v>
      </c>
      <c r="Y73" s="55">
        <f>IFERROR(Inv_SY!M75/Inv_SY!$Z75-1,"")</f>
        <v>0.28978726731633753</v>
      </c>
      <c r="Z73" s="55">
        <f>IFERROR(Inv_SY!N75/Inv_SY!$Z75-1,"")</f>
        <v>0.32358220075123678</v>
      </c>
      <c r="AA73" s="55">
        <f>IFERROR(Inv_SY!O75/Inv_SY!$Z75-1,"")</f>
        <v>0.27078171829650977</v>
      </c>
      <c r="AB73" s="55">
        <f>IFERROR(Inv_SY!P75/Inv_SY!$Z75-1,"")</f>
        <v>0.27220977404973379</v>
      </c>
      <c r="AC73" s="55">
        <f>IFERROR(Inv_SY!Q75/Inv_SY!$Z75-1,"")</f>
        <v>-1</v>
      </c>
      <c r="AD73" s="55">
        <f>IFERROR(Inv_SY!R75/Inv_SY!$Z75-1,"")</f>
        <v>-6.3049617854764595E-3</v>
      </c>
      <c r="AE73" s="55">
        <f>IFERROR(Inv_SY!S75/Inv_SY!$Z75-1,"")</f>
        <v>1.3575080607630019E-2</v>
      </c>
      <c r="AF73" s="55">
        <f>IFERROR(Inv_SY!T75/Inv_SY!$Z75-1,"")</f>
        <v>2.131570481039291E-2</v>
      </c>
      <c r="AG73" s="55">
        <f>IFERROR(Inv_SY!U75/Inv_SY!$Z75-1,"")</f>
        <v>-2.4847925236289425E-2</v>
      </c>
      <c r="AH73" s="55">
        <f>IFERROR(Inv_SY!V75/Inv_SY!$Y75-1,"")</f>
        <v>1.9872379466248091E-3</v>
      </c>
      <c r="AI73" s="55">
        <f>IFERROR(Inv_SY!W75/Inv_SY!$Y75-1,"")</f>
        <v>-1.7103447426470075E-2</v>
      </c>
      <c r="AJ73" s="55">
        <f>IFERROR(Inv_SY!X75/Inv_SY!$Y75-1,"")</f>
        <v>1.5116209479845377E-2</v>
      </c>
      <c r="AK73" s="55">
        <f>IFERROR(Inv_SY!V75/Inv_SY!$Z75-1,"")</f>
        <v>-1.2933466543646355E-2</v>
      </c>
      <c r="AL73" s="55">
        <f>IFERROR(Inv_SY!W75/Inv_SY!$Z75-1,"")</f>
        <v>-3.1739870376836121E-2</v>
      </c>
      <c r="AM73" s="55">
        <f>IFERROR(Inv_SY!X75/Inv_SY!$Z75-1,"")</f>
        <v>0</v>
      </c>
    </row>
    <row r="74" spans="1:39" x14ac:dyDescent="0.3">
      <c r="A74" s="273">
        <f>YEAR(Table5[[#This Row],[Date]])+IF(MONTH(Table5[[#This Row],[Date]])&gt;=4,1,0)</f>
        <v>2026</v>
      </c>
      <c r="B74" s="273"/>
      <c r="C74" s="273">
        <f>YEAR(Table5[[#This Row],[Date]])</f>
        <v>2025</v>
      </c>
      <c r="D74" s="273"/>
      <c r="E74" s="273"/>
      <c r="F74" s="274" t="str">
        <f>TEXT(Table5[[#This Row],[Date]],"mmm-yy")</f>
        <v>Jun-25</v>
      </c>
      <c r="G74" s="273">
        <f t="shared" si="5"/>
        <v>30</v>
      </c>
      <c r="H74" s="275">
        <f t="shared" si="6"/>
        <v>45817</v>
      </c>
      <c r="I74" s="273">
        <v>8.02</v>
      </c>
      <c r="J74" s="55">
        <f>IFERROR(Inv_SY!J76/Inv_SY!$Y76-1,"")</f>
        <v>0.17753718689943954</v>
      </c>
      <c r="K74" s="55">
        <f>IFERROR(Inv_SY!K76/Inv_SY!$Y76-1,"")</f>
        <v>0.18112021680958779</v>
      </c>
      <c r="L74" s="55">
        <f>IFERROR(Inv_SY!L76/Inv_SY!$Y76-1,"")</f>
        <v>-1</v>
      </c>
      <c r="M74" s="55">
        <f>IFERROR(Inv_SY!M76/Inv_SY!$Y76-1,"")</f>
        <v>0.68600650515761119</v>
      </c>
      <c r="N74" s="55">
        <f>IFERROR(Inv_SY!N76/Inv_SY!$Y76-1,"")</f>
        <v>0.12686710232700338</v>
      </c>
      <c r="O74" s="55">
        <f>IFERROR(Inv_SY!O76/Inv_SY!$Y76-1,"")</f>
        <v>0.69056077978374786</v>
      </c>
      <c r="P74" s="55">
        <f>IFERROR(Inv_SY!P76/Inv_SY!$Y76-1,"")</f>
        <v>0.11438104025135809</v>
      </c>
      <c r="Q74" s="55">
        <f>IFERROR(Inv_SY!Q76/Inv_SY!$Y76-1,"")</f>
        <v>-1</v>
      </c>
      <c r="R74" s="55">
        <f>IFERROR(Inv_SY!R76/Inv_SY!$Y76-1,"")</f>
        <v>-0.12472520837556411</v>
      </c>
      <c r="S74" s="55">
        <f>IFERROR(Inv_SY!S76/Inv_SY!$Y76-1,"")</f>
        <v>-0.10391094103412357</v>
      </c>
      <c r="T74" s="55">
        <f>IFERROR(Inv_SY!T76/Inv_SY!$Y76-1,"")</f>
        <v>-0.13462633429269522</v>
      </c>
      <c r="U74" s="55">
        <f>IFERROR(Inv_SY!U76/Inv_SY!$Y76-1,"")</f>
        <v>0.37643301167539311</v>
      </c>
      <c r="V74" s="55">
        <f>IFERROR(Inv_SY!J76/Inv_SY!$Z76-1,"")</f>
        <v>0.16375326939843049</v>
      </c>
      <c r="W74" s="55">
        <f>IFERROR(Inv_SY!K76/Inv_SY!$Z76-1,"")</f>
        <v>0.16729435737312692</v>
      </c>
      <c r="X74" s="55">
        <f>IFERROR(Inv_SY!L76/Inv_SY!$Z76-1,"")</f>
        <v>-1</v>
      </c>
      <c r="Y74" s="55">
        <f>IFERROR(Inv_SY!M76/Inv_SY!$Z76-1,"")</f>
        <v>0.66627058952640339</v>
      </c>
      <c r="Z74" s="55">
        <f>IFERROR(Inv_SY!N76/Inv_SY!$Z76-1,"")</f>
        <v>0.11367631451504878</v>
      </c>
      <c r="AA74" s="55">
        <f>IFERROR(Inv_SY!O76/Inv_SY!$Z76-1,"")</f>
        <v>0.67077155310094683</v>
      </c>
      <c r="AB74" s="55">
        <f>IFERROR(Inv_SY!P76/Inv_SY!$Z76-1,"")</f>
        <v>0.10133641075310917</v>
      </c>
      <c r="AC74" s="55">
        <f>IFERROR(Inv_SY!Q76/Inv_SY!$Z76-1,"")</f>
        <v>-1</v>
      </c>
      <c r="AD74" s="55">
        <f>IFERROR(Inv_SY!R76/Inv_SY!$Z76-1,"")</f>
        <v>-0.13497092770628993</v>
      </c>
      <c r="AE74" s="55">
        <f>IFERROR(Inv_SY!S76/Inv_SY!$Z76-1,"")</f>
        <v>-0.11440030629558551</v>
      </c>
      <c r="AF74" s="55">
        <f>IFERROR(Inv_SY!T76/Inv_SY!$Z76-1,"")</f>
        <v>-0.14475615384180296</v>
      </c>
      <c r="AG74" s="55">
        <f>IFERROR(Inv_SY!U76/Inv_SY!$Z76-1,"")</f>
        <v>0.36032087586373707</v>
      </c>
      <c r="AH74" s="55">
        <f>IFERROR(Inv_SY!V76/Inv_SY!$Y76-1,"")</f>
        <v>1.1844364147852726E-2</v>
      </c>
      <c r="AI74" s="55">
        <f>IFERROR(Inv_SY!W76/Inv_SY!$Y76-1,"")</f>
        <v>-1.5403786661031815E-2</v>
      </c>
      <c r="AJ74" s="55">
        <f>IFERROR(Inv_SY!X76/Inv_SY!$Y76-1,"")</f>
        <v>3.5594225131794222E-3</v>
      </c>
      <c r="AK74" s="55">
        <f>IFERROR(Inv_SY!V76/Inv_SY!$Z76-1,"")</f>
        <v>0</v>
      </c>
      <c r="AL74" s="55">
        <f>IFERROR(Inv_SY!W76/Inv_SY!$Z76-1,"")</f>
        <v>-2.6929191656695273E-2</v>
      </c>
      <c r="AM74" s="55">
        <f>IFERROR(Inv_SY!X76/Inv_SY!$Z76-1,"")</f>
        <v>-8.1879604494814462E-3</v>
      </c>
    </row>
    <row r="75" spans="1:39" x14ac:dyDescent="0.3">
      <c r="A75" s="273">
        <f>YEAR(Table5[[#This Row],[Date]])+IF(MONTH(Table5[[#This Row],[Date]])&gt;=4,1,0)</f>
        <v>2026</v>
      </c>
      <c r="B75" s="273"/>
      <c r="C75" s="273">
        <f>YEAR(Table5[[#This Row],[Date]])</f>
        <v>2025</v>
      </c>
      <c r="D75" s="273"/>
      <c r="E75" s="273"/>
      <c r="F75" s="274" t="str">
        <f>TEXT(Table5[[#This Row],[Date]],"mmm-yy")</f>
        <v>Jun-25</v>
      </c>
      <c r="G75" s="273">
        <f t="shared" si="5"/>
        <v>30</v>
      </c>
      <c r="H75" s="275">
        <f t="shared" si="6"/>
        <v>45818</v>
      </c>
      <c r="I75" s="273">
        <v>8.02</v>
      </c>
      <c r="J75" s="55">
        <f>IFERROR(Inv_SY!J77/Inv_SY!$Y77-1,"")</f>
        <v>0.31445379556774222</v>
      </c>
      <c r="K75" s="55">
        <f>IFERROR(Inv_SY!K77/Inv_SY!$Y77-1,"")</f>
        <v>0.43473690277562471</v>
      </c>
      <c r="L75" s="55">
        <f>IFERROR(Inv_SY!L77/Inv_SY!$Y77-1,"")</f>
        <v>-1</v>
      </c>
      <c r="M75" s="55">
        <f>IFERROR(Inv_SY!M77/Inv_SY!$Y77-1,"")</f>
        <v>0.29906095207743499</v>
      </c>
      <c r="N75" s="55">
        <f>IFERROR(Inv_SY!N77/Inv_SY!$Y77-1,"")</f>
        <v>0.395879981774655</v>
      </c>
      <c r="O75" s="55">
        <f>IFERROR(Inv_SY!O77/Inv_SY!$Y77-1,"")</f>
        <v>0.27210362527474574</v>
      </c>
      <c r="P75" s="55">
        <f>IFERROR(Inv_SY!P77/Inv_SY!$Y77-1,"")</f>
        <v>0.26493133420451409</v>
      </c>
      <c r="Q75" s="55">
        <f>IFERROR(Inv_SY!Q77/Inv_SY!$Y77-1,"")</f>
        <v>-1</v>
      </c>
      <c r="R75" s="55">
        <f>IFERROR(Inv_SY!R77/Inv_SY!$Y77-1,"")</f>
        <v>-2.2924720733464299E-2</v>
      </c>
      <c r="S75" s="55">
        <f>IFERROR(Inv_SY!S77/Inv_SY!$Y77-1,"")</f>
        <v>-2.3036807297910356E-3</v>
      </c>
      <c r="T75" s="55">
        <f>IFERROR(Inv_SY!T77/Inv_SY!$Y77-1,"")</f>
        <v>8.3509890125692987E-2</v>
      </c>
      <c r="U75" s="55">
        <f>IFERROR(Inv_SY!U77/Inv_SY!$Y77-1,"")</f>
        <v>-3.9558809986718346E-2</v>
      </c>
      <c r="V75" s="55">
        <f>IFERROR(Inv_SY!J77/Inv_SY!$Z77-1,"")</f>
        <v>0.29991422485800912</v>
      </c>
      <c r="W75" s="55">
        <f>IFERROR(Inv_SY!K77/Inv_SY!$Z77-1,"")</f>
        <v>0.41886684426302434</v>
      </c>
      <c r="X75" s="55">
        <f>IFERROR(Inv_SY!L77/Inv_SY!$Z77-1,"")</f>
        <v>-1</v>
      </c>
      <c r="Y75" s="55">
        <f>IFERROR(Inv_SY!M77/Inv_SY!$Z77-1,"")</f>
        <v>0.28469164626183963</v>
      </c>
      <c r="Z75" s="55">
        <f>IFERROR(Inv_SY!N77/Inv_SY!$Z77-1,"")</f>
        <v>0.38043973140925713</v>
      </c>
      <c r="AA75" s="55">
        <f>IFERROR(Inv_SY!O77/Inv_SY!$Z77-1,"")</f>
        <v>0.25803250259842447</v>
      </c>
      <c r="AB75" s="55">
        <f>IFERROR(Inv_SY!P77/Inv_SY!$Z77-1,"")</f>
        <v>0.25093954640745442</v>
      </c>
      <c r="AC75" s="55">
        <f>IFERROR(Inv_SY!Q77/Inv_SY!$Z77-1,"")</f>
        <v>-1</v>
      </c>
      <c r="AD75" s="55">
        <f>IFERROR(Inv_SY!R77/Inv_SY!$Z77-1,"")</f>
        <v>-3.3732445706019853E-2</v>
      </c>
      <c r="AE75" s="55">
        <f>IFERROR(Inv_SY!S77/Inv_SY!$Z77-1,"")</f>
        <v>-1.3339501258274655E-2</v>
      </c>
      <c r="AF75" s="55">
        <f>IFERROR(Inv_SY!T77/Inv_SY!$Z77-1,"")</f>
        <v>7.1524859753915537E-2</v>
      </c>
      <c r="AG75" s="55">
        <f>IFERROR(Inv_SY!U77/Inv_SY!$Z77-1,"")</f>
        <v>-5.0182540270601539E-2</v>
      </c>
      <c r="AH75" s="55">
        <f>IFERROR(Inv_SY!V77/Inv_SY!$Y77-1,"")</f>
        <v>1.1185023158986729E-2</v>
      </c>
      <c r="AI75" s="55">
        <f>IFERROR(Inv_SY!W77/Inv_SY!$Y77-1,"")</f>
        <v>-1.5126819485297593E-2</v>
      </c>
      <c r="AJ75" s="55">
        <f>IFERROR(Inv_SY!X77/Inv_SY!$Y77-1,"")</f>
        <v>3.9417963263108646E-3</v>
      </c>
      <c r="AK75" s="55">
        <f>IFERROR(Inv_SY!V77/Inv_SY!$Z77-1,"")</f>
        <v>0</v>
      </c>
      <c r="AL75" s="55">
        <f>IFERROR(Inv_SY!W77/Inv_SY!$Z77-1,"")</f>
        <v>-2.6020799400375716E-2</v>
      </c>
      <c r="AM75" s="55">
        <f>IFERROR(Inv_SY!X77/Inv_SY!$Z77-1,"")</f>
        <v>-7.1631073115061561E-3</v>
      </c>
    </row>
    <row r="76" spans="1:39" x14ac:dyDescent="0.3">
      <c r="A76" s="273">
        <f>YEAR(Table5[[#This Row],[Date]])+IF(MONTH(Table5[[#This Row],[Date]])&gt;=4,1,0)</f>
        <v>2026</v>
      </c>
      <c r="B76" s="273"/>
      <c r="C76" s="273">
        <f>YEAR(Table5[[#This Row],[Date]])</f>
        <v>2025</v>
      </c>
      <c r="D76" s="273"/>
      <c r="E76" s="273"/>
      <c r="F76" s="274" t="str">
        <f>TEXT(Table5[[#This Row],[Date]],"mmm-yy")</f>
        <v>Jun-25</v>
      </c>
      <c r="G76" s="273">
        <f t="shared" si="5"/>
        <v>30</v>
      </c>
      <c r="H76" s="275">
        <f t="shared" si="6"/>
        <v>45819</v>
      </c>
      <c r="I76" s="273">
        <v>8.02</v>
      </c>
      <c r="J76" s="55">
        <f>IFERROR(Inv_SY!J78/Inv_SY!$Y78-1,"")</f>
        <v>0.33409147804653316</v>
      </c>
      <c r="K76" s="55">
        <f>IFERROR(Inv_SY!K78/Inv_SY!$Y78-1,"")</f>
        <v>0.33342711349302934</v>
      </c>
      <c r="L76" s="55">
        <f>IFERROR(Inv_SY!L78/Inv_SY!$Y78-1,"")</f>
        <v>-1</v>
      </c>
      <c r="M76" s="55">
        <f>IFERROR(Inv_SY!M78/Inv_SY!$Y78-1,"")</f>
        <v>0.34429873889067109</v>
      </c>
      <c r="N76" s="55">
        <f>IFERROR(Inv_SY!N78/Inv_SY!$Y78-1,"")</f>
        <v>0.30039792631725715</v>
      </c>
      <c r="O76" s="55">
        <f>IFERROR(Inv_SY!O78/Inv_SY!$Y78-1,"")</f>
        <v>0.29104081056837727</v>
      </c>
      <c r="P76" s="55">
        <f>IFERROR(Inv_SY!P78/Inv_SY!$Y78-1,"")</f>
        <v>0.34916103983332647</v>
      </c>
      <c r="Q76" s="55">
        <f>IFERROR(Inv_SY!Q78/Inv_SY!$Y78-1,"")</f>
        <v>-1</v>
      </c>
      <c r="R76" s="55">
        <f>IFERROR(Inv_SY!R78/Inv_SY!$Y78-1,"")</f>
        <v>3.8421328284601985E-2</v>
      </c>
      <c r="S76" s="55">
        <f>IFERROR(Inv_SY!S78/Inv_SY!$Y78-1,"")</f>
        <v>2.5793026911838712E-2</v>
      </c>
      <c r="T76" s="55">
        <f>IFERROR(Inv_SY!T78/Inv_SY!$Y78-1,"")</f>
        <v>-5.5754384231635479E-3</v>
      </c>
      <c r="U76" s="55">
        <f>IFERROR(Inv_SY!U78/Inv_SY!$Y78-1,"")</f>
        <v>-1.0855486137578474E-2</v>
      </c>
      <c r="V76" s="55">
        <f>IFERROR(Inv_SY!J78/Inv_SY!$Z78-1,"")</f>
        <v>0.31971988753896685</v>
      </c>
      <c r="W76" s="55">
        <f>IFERROR(Inv_SY!K78/Inv_SY!$Z78-1,"")</f>
        <v>0.31906267989746495</v>
      </c>
      <c r="X76" s="55">
        <f>IFERROR(Inv_SY!L78/Inv_SY!$Z78-1,"")</f>
        <v>-1</v>
      </c>
      <c r="Y76" s="55">
        <f>IFERROR(Inv_SY!M78/Inv_SY!$Z78-1,"")</f>
        <v>0.32981718997660137</v>
      </c>
      <c r="Z76" s="55">
        <f>IFERROR(Inv_SY!N78/Inv_SY!$Z78-1,"")</f>
        <v>0.28638930187023992</v>
      </c>
      <c r="AA76" s="55">
        <f>IFERROR(Inv_SY!O78/Inv_SY!$Z78-1,"")</f>
        <v>0.27713298628243432</v>
      </c>
      <c r="AB76" s="55">
        <f>IFERROR(Inv_SY!P78/Inv_SY!$Z78-1,"")</f>
        <v>0.33462711145411328</v>
      </c>
      <c r="AC76" s="55">
        <f>IFERROR(Inv_SY!Q78/Inv_SY!$Z78-1,"")</f>
        <v>-1</v>
      </c>
      <c r="AD76" s="55">
        <f>IFERROR(Inv_SY!R78/Inv_SY!$Z78-1,"")</f>
        <v>2.7234864425105698E-2</v>
      </c>
      <c r="AE76" s="55">
        <f>IFERROR(Inv_SY!S78/Inv_SY!$Z78-1,"")</f>
        <v>1.474260228137747E-2</v>
      </c>
      <c r="AF76" s="55">
        <f>IFERROR(Inv_SY!T78/Inv_SY!$Z78-1,"")</f>
        <v>-1.6287944143217326E-2</v>
      </c>
      <c r="AG76" s="55">
        <f>IFERROR(Inv_SY!U78/Inv_SY!$Z78-1,"")</f>
        <v>-2.1511112187189374E-2</v>
      </c>
      <c r="AH76" s="55">
        <f>IFERROR(Inv_SY!V78/Inv_SY!$Y78-1,"")</f>
        <v>2.3125179381369154E-3</v>
      </c>
      <c r="AI76" s="55">
        <f>IFERROR(Inv_SY!W78/Inv_SY!$Y78-1,"")</f>
        <v>-1.3202397406701039E-2</v>
      </c>
      <c r="AJ76" s="55">
        <f>IFERROR(Inv_SY!X78/Inv_SY!$Y78-1,"")</f>
        <v>1.0889879468564123E-2</v>
      </c>
      <c r="AK76" s="55">
        <f>IFERROR(Inv_SY!V78/Inv_SY!$Z78-1,"")</f>
        <v>-8.4849613243099808E-3</v>
      </c>
      <c r="AL76" s="55">
        <f>IFERROR(Inv_SY!W78/Inv_SY!$Z78-1,"")</f>
        <v>-2.3832741196232687E-2</v>
      </c>
      <c r="AM76" s="55">
        <f>IFERROR(Inv_SY!X78/Inv_SY!$Z78-1,"")</f>
        <v>0</v>
      </c>
    </row>
    <row r="77" spans="1:39" x14ac:dyDescent="0.3">
      <c r="A77" s="273">
        <f>YEAR(Table5[[#This Row],[Date]])+IF(MONTH(Table5[[#This Row],[Date]])&gt;=4,1,0)</f>
        <v>2026</v>
      </c>
      <c r="B77" s="273"/>
      <c r="C77" s="273">
        <f>YEAR(Table5[[#This Row],[Date]])</f>
        <v>2025</v>
      </c>
      <c r="D77" s="273"/>
      <c r="E77" s="273"/>
      <c r="F77" s="274" t="str">
        <f>TEXT(Table5[[#This Row],[Date]],"mmm-yy")</f>
        <v>Jun-25</v>
      </c>
      <c r="G77" s="273">
        <f t="shared" si="5"/>
        <v>30</v>
      </c>
      <c r="H77" s="275">
        <f t="shared" si="6"/>
        <v>45820</v>
      </c>
      <c r="I77" s="273">
        <v>8.02</v>
      </c>
      <c r="J77" s="55">
        <f>IFERROR(Inv_SY!J79/Inv_SY!$Y79-1,"")</f>
        <v>0.36897592918251298</v>
      </c>
      <c r="K77" s="55">
        <f>IFERROR(Inv_SY!K79/Inv_SY!$Y79-1,"")</f>
        <v>0.33704255420141327</v>
      </c>
      <c r="L77" s="55">
        <f>IFERROR(Inv_SY!L79/Inv_SY!$Y79-1,"")</f>
        <v>-1</v>
      </c>
      <c r="M77" s="55">
        <f>IFERROR(Inv_SY!M79/Inv_SY!$Y79-1,"")</f>
        <v>0.31745692693025473</v>
      </c>
      <c r="N77" s="55">
        <f>IFERROR(Inv_SY!N79/Inv_SY!$Y79-1,"")</f>
        <v>0.33453643087248941</v>
      </c>
      <c r="O77" s="55">
        <f>IFERROR(Inv_SY!O79/Inv_SY!$Y79-1,"")</f>
        <v>0.29259144168590856</v>
      </c>
      <c r="P77" s="55">
        <f>IFERROR(Inv_SY!P79/Inv_SY!$Y79-1,"")</f>
        <v>0.29240355819571118</v>
      </c>
      <c r="Q77" s="55">
        <f>IFERROR(Inv_SY!Q79/Inv_SY!$Y79-1,"")</f>
        <v>-1</v>
      </c>
      <c r="R77" s="55">
        <f>IFERROR(Inv_SY!R79/Inv_SY!$Y79-1,"")</f>
        <v>8.2637614145872895E-3</v>
      </c>
      <c r="S77" s="55">
        <f>IFERROR(Inv_SY!S79/Inv_SY!$Y79-1,"")</f>
        <v>6.184829596935959E-2</v>
      </c>
      <c r="T77" s="55">
        <f>IFERROR(Inv_SY!T79/Inv_SY!$Y79-1,"")</f>
        <v>-2.9660228558908708E-3</v>
      </c>
      <c r="U77" s="55">
        <f>IFERROR(Inv_SY!U79/Inv_SY!$Y79-1,"")</f>
        <v>-8.8815181335475391E-3</v>
      </c>
      <c r="V77" s="55">
        <f>IFERROR(Inv_SY!J79/Inv_SY!$Z79-1,"")</f>
        <v>0.35090572818513022</v>
      </c>
      <c r="W77" s="55">
        <f>IFERROR(Inv_SY!K79/Inv_SY!$Z79-1,"")</f>
        <v>0.31939386719279583</v>
      </c>
      <c r="X77" s="55">
        <f>IFERROR(Inv_SY!L79/Inv_SY!$Z79-1,"")</f>
        <v>-1</v>
      </c>
      <c r="Y77" s="55">
        <f>IFERROR(Inv_SY!M79/Inv_SY!$Z79-1,"")</f>
        <v>0.30006676617758155</v>
      </c>
      <c r="Z77" s="55">
        <f>IFERROR(Inv_SY!N79/Inv_SY!$Z79-1,"")</f>
        <v>0.31692082417690925</v>
      </c>
      <c r="AA77" s="55">
        <f>IFERROR(Inv_SY!O79/Inv_SY!$Z79-1,"")</f>
        <v>0.27552950022963407</v>
      </c>
      <c r="AB77" s="55">
        <f>IFERROR(Inv_SY!P79/Inv_SY!$Z79-1,"")</f>
        <v>0.27534409676290506</v>
      </c>
      <c r="AC77" s="55">
        <f>IFERROR(Inv_SY!Q79/Inv_SY!$Z79-1,"")</f>
        <v>-1</v>
      </c>
      <c r="AD77" s="55">
        <f>IFERROR(Inv_SY!R79/Inv_SY!$Z79-1,"")</f>
        <v>-5.0451130796622667E-3</v>
      </c>
      <c r="AE77" s="55">
        <f>IFERROR(Inv_SY!S79/Inv_SY!$Z79-1,"")</f>
        <v>4.7832116628388377E-2</v>
      </c>
      <c r="AF77" s="55">
        <f>IFERROR(Inv_SY!T79/Inv_SY!$Z79-1,"")</f>
        <v>-1.6126666505025367E-2</v>
      </c>
      <c r="AG77" s="55">
        <f>IFERROR(Inv_SY!U79/Inv_SY!$Z79-1,"")</f>
        <v>-2.1964078460406156E-2</v>
      </c>
      <c r="AH77" s="55">
        <f>IFERROR(Inv_SY!V79/Inv_SY!$Y79-1,"")</f>
        <v>5.1019333323023552E-3</v>
      </c>
      <c r="AI77" s="55">
        <f>IFERROR(Inv_SY!W79/Inv_SY!$Y79-1,"")</f>
        <v>-1.8478293074043362E-2</v>
      </c>
      <c r="AJ77" s="55">
        <f>IFERROR(Inv_SY!X79/Inv_SY!$Y79-1,"")</f>
        <v>1.3376359741740895E-2</v>
      </c>
      <c r="AK77" s="55">
        <f>IFERROR(Inv_SY!V79/Inv_SY!$Z79-1,"")</f>
        <v>-8.1652056808856344E-3</v>
      </c>
      <c r="AL77" s="55">
        <f>IFERROR(Inv_SY!W79/Inv_SY!$Z79-1,"")</f>
        <v>-3.1434177943427066E-2</v>
      </c>
      <c r="AM77" s="55">
        <f>IFERROR(Inv_SY!X79/Inv_SY!$Z79-1,"")</f>
        <v>0</v>
      </c>
    </row>
    <row r="78" spans="1:39" x14ac:dyDescent="0.3">
      <c r="A78" s="273">
        <f>YEAR(Table5[[#This Row],[Date]])+IF(MONTH(Table5[[#This Row],[Date]])&gt;=4,1,0)</f>
        <v>2026</v>
      </c>
      <c r="B78" s="273"/>
      <c r="C78" s="273">
        <f>YEAR(Table5[[#This Row],[Date]])</f>
        <v>2025</v>
      </c>
      <c r="D78" s="273"/>
      <c r="E78" s="273"/>
      <c r="F78" s="274" t="str">
        <f>TEXT(Table5[[#This Row],[Date]],"mmm-yy")</f>
        <v>Jun-25</v>
      </c>
      <c r="G78" s="273">
        <f t="shared" si="5"/>
        <v>30</v>
      </c>
      <c r="H78" s="275">
        <f t="shared" si="6"/>
        <v>45821</v>
      </c>
      <c r="I78" s="273">
        <v>8.02</v>
      </c>
      <c r="J78" s="55">
        <f>IFERROR(Inv_SY!J80/Inv_SY!$Y80-1,"")</f>
        <v>0.3300986609784764</v>
      </c>
      <c r="K78" s="55">
        <f>IFERROR(Inv_SY!K80/Inv_SY!$Y80-1,"")</f>
        <v>0.37043986911369231</v>
      </c>
      <c r="L78" s="55">
        <f>IFERROR(Inv_SY!L80/Inv_SY!$Y80-1,"")</f>
        <v>-1</v>
      </c>
      <c r="M78" s="55">
        <f>IFERROR(Inv_SY!M80/Inv_SY!$Y80-1,"")</f>
        <v>0.30928225898052197</v>
      </c>
      <c r="N78" s="55">
        <f>IFERROR(Inv_SY!N80/Inv_SY!$Y80-1,"")</f>
        <v>0.33835261119762028</v>
      </c>
      <c r="O78" s="55">
        <f>IFERROR(Inv_SY!O80/Inv_SY!$Y80-1,"")</f>
        <v>0.28921950426401755</v>
      </c>
      <c r="P78" s="55">
        <f>IFERROR(Inv_SY!P80/Inv_SY!$Y80-1,"")</f>
        <v>0.28983148246425805</v>
      </c>
      <c r="Q78" s="55">
        <f>IFERROR(Inv_SY!Q80/Inv_SY!$Y80-1,"")</f>
        <v>-1</v>
      </c>
      <c r="R78" s="55">
        <f>IFERROR(Inv_SY!R80/Inv_SY!$Y80-1,"")</f>
        <v>1.098897068526572E-2</v>
      </c>
      <c r="S78" s="55">
        <f>IFERROR(Inv_SY!S80/Inv_SY!$Y80-1,"")</f>
        <v>3.0998850613610296E-2</v>
      </c>
      <c r="T78" s="55">
        <f>IFERROR(Inv_SY!T80/Inv_SY!$Y80-1,"")</f>
        <v>3.9205906830721338E-2</v>
      </c>
      <c r="U78" s="55">
        <f>IFERROR(Inv_SY!U80/Inv_SY!$Y80-1,"")</f>
        <v>-8.0538238955657482E-3</v>
      </c>
      <c r="V78" s="55">
        <f>IFERROR(Inv_SY!J80/Inv_SY!$Z80-1,"")</f>
        <v>0.30743415371658989</v>
      </c>
      <c r="W78" s="55">
        <f>IFERROR(Inv_SY!K80/Inv_SY!$Z80-1,"")</f>
        <v>0.34708795900601874</v>
      </c>
      <c r="X78" s="55">
        <f>IFERROR(Inv_SY!L80/Inv_SY!$Z80-1,"")</f>
        <v>-1</v>
      </c>
      <c r="Y78" s="55">
        <f>IFERROR(Inv_SY!M80/Inv_SY!$Z80-1,"")</f>
        <v>0.2869724573567134</v>
      </c>
      <c r="Z78" s="55">
        <f>IFERROR(Inv_SY!N80/Inv_SY!$Z80-1,"")</f>
        <v>0.31554745894437386</v>
      </c>
      <c r="AA78" s="55">
        <f>IFERROR(Inv_SY!O80/Inv_SY!$Z80-1,"")</f>
        <v>0.26725156634047842</v>
      </c>
      <c r="AB78" s="55">
        <f>IFERROR(Inv_SY!P80/Inv_SY!$Z80-1,"")</f>
        <v>0.26785311660422773</v>
      </c>
      <c r="AC78" s="55">
        <f>IFERROR(Inv_SY!Q80/Inv_SY!$Z80-1,"")</f>
        <v>-1</v>
      </c>
      <c r="AD78" s="55">
        <f>IFERROR(Inv_SY!R80/Inv_SY!$Z80-1,"")</f>
        <v>-6.2379971630646125E-3</v>
      </c>
      <c r="AE78" s="55">
        <f>IFERROR(Inv_SY!S80/Inv_SY!$Z80-1,"")</f>
        <v>1.3430920036536342E-2</v>
      </c>
      <c r="AF78" s="55">
        <f>IFERROR(Inv_SY!T80/Inv_SY!$Z80-1,"")</f>
        <v>2.1498130322899156E-2</v>
      </c>
      <c r="AG78" s="55">
        <f>IFERROR(Inv_SY!U80/Inv_SY!$Z80-1,"")</f>
        <v>-2.4956307877604278E-2</v>
      </c>
      <c r="AH78" s="55">
        <f>IFERROR(Inv_SY!V80/Inv_SY!$Y80-1,"")</f>
        <v>1.6760367995485304E-3</v>
      </c>
      <c r="AI78" s="55">
        <f>IFERROR(Inv_SY!W80/Inv_SY!$Y80-1,"")</f>
        <v>-1.9011140978569152E-2</v>
      </c>
      <c r="AJ78" s="55">
        <f>IFERROR(Inv_SY!X80/Inv_SY!$Y80-1,"")</f>
        <v>1.7335104179020622E-2</v>
      </c>
      <c r="AK78" s="55">
        <f>IFERROR(Inv_SY!V80/Inv_SY!$Z80-1,"")</f>
        <v>-1.5392241273448071E-2</v>
      </c>
      <c r="AL78" s="55">
        <f>IFERROR(Inv_SY!W80/Inv_SY!$Z80-1,"")</f>
        <v>-3.5726915357865985E-2</v>
      </c>
      <c r="AM78" s="55">
        <f>IFERROR(Inv_SY!X80/Inv_SY!$Z80-1,"")</f>
        <v>0</v>
      </c>
    </row>
    <row r="79" spans="1:39" x14ac:dyDescent="0.3">
      <c r="A79" s="273">
        <f>YEAR(Table5[[#This Row],[Date]])+IF(MONTH(Table5[[#This Row],[Date]])&gt;=4,1,0)</f>
        <v>2026</v>
      </c>
      <c r="B79" s="273"/>
      <c r="C79" s="273">
        <f>YEAR(Table5[[#This Row],[Date]])</f>
        <v>2025</v>
      </c>
      <c r="D79" s="273"/>
      <c r="E79" s="273"/>
      <c r="F79" s="274" t="str">
        <f>TEXT(Table5[[#This Row],[Date]],"mmm-yy")</f>
        <v>Jun-25</v>
      </c>
      <c r="G79" s="273">
        <f t="shared" si="5"/>
        <v>30</v>
      </c>
      <c r="H79" s="275">
        <f t="shared" si="6"/>
        <v>45822</v>
      </c>
      <c r="I79" s="273">
        <v>8.02</v>
      </c>
      <c r="J79" s="55">
        <f>IFERROR(Inv_SY!J81/Inv_SY!$Y81-1,"")</f>
        <v>0.3143901044079771</v>
      </c>
      <c r="K79" s="55">
        <f>IFERROR(Inv_SY!K81/Inv_SY!$Y81-1,"")</f>
        <v>0.31355176903386694</v>
      </c>
      <c r="L79" s="55">
        <f>IFERROR(Inv_SY!L81/Inv_SY!$Y81-1,"")</f>
        <v>-1</v>
      </c>
      <c r="M79" s="55">
        <f>IFERROR(Inv_SY!M81/Inv_SY!$Y81-1,"")</f>
        <v>0.35858615681768335</v>
      </c>
      <c r="N79" s="55">
        <f>IFERROR(Inv_SY!N81/Inv_SY!$Y81-1,"")</f>
        <v>0.29929810435930615</v>
      </c>
      <c r="O79" s="55">
        <f>IFERROR(Inv_SY!O81/Inv_SY!$Y81-1,"")</f>
        <v>0.35395285879600524</v>
      </c>
      <c r="P79" s="55">
        <f>IFERROR(Inv_SY!P81/Inv_SY!$Y81-1,"")</f>
        <v>0.29199457369961368</v>
      </c>
      <c r="Q79" s="55">
        <f>IFERROR(Inv_SY!Q81/Inv_SY!$Y81-1,"")</f>
        <v>-1</v>
      </c>
      <c r="R79" s="55">
        <f>IFERROR(Inv_SY!R81/Inv_SY!$Y81-1,"")</f>
        <v>4.0808625667525522E-3</v>
      </c>
      <c r="S79" s="55">
        <f>IFERROR(Inv_SY!S81/Inv_SY!$Y81-1,"")</f>
        <v>2.3872898375601803E-2</v>
      </c>
      <c r="T79" s="55">
        <f>IFERROR(Inv_SY!T81/Inv_SY!$Y81-1,"")</f>
        <v>-8.3804265858558047E-3</v>
      </c>
      <c r="U79" s="55">
        <f>IFERROR(Inv_SY!U81/Inv_SY!$Y81-1,"")</f>
        <v>4.7810170004920716E-2</v>
      </c>
      <c r="V79" s="55">
        <f>IFERROR(Inv_SY!J81/Inv_SY!$Z81-1,"")</f>
        <v>0.29375019876524688</v>
      </c>
      <c r="W79" s="55">
        <f>IFERROR(Inv_SY!K81/Inv_SY!$Z81-1,"")</f>
        <v>0.292925027795647</v>
      </c>
      <c r="X79" s="55">
        <f>IFERROR(Inv_SY!L81/Inv_SY!$Z81-1,"")</f>
        <v>-1</v>
      </c>
      <c r="Y79" s="55">
        <f>IFERROR(Inv_SY!M81/Inv_SY!$Z81-1,"")</f>
        <v>0.33725223929183068</v>
      </c>
      <c r="Z79" s="55">
        <f>IFERROR(Inv_SY!N81/Inv_SY!$Z81-1,"")</f>
        <v>0.27889518882774622</v>
      </c>
      <c r="AA79" s="55">
        <f>IFERROR(Inv_SY!O81/Inv_SY!$Z81-1,"")</f>
        <v>0.33269169808235133</v>
      </c>
      <c r="AB79" s="55">
        <f>IFERROR(Inv_SY!P81/Inv_SY!$Z81-1,"")</f>
        <v>0.27170634572022645</v>
      </c>
      <c r="AC79" s="55">
        <f>IFERROR(Inv_SY!Q81/Inv_SY!$Z81-1,"")</f>
        <v>-1</v>
      </c>
      <c r="AD79" s="55">
        <f>IFERROR(Inv_SY!R81/Inv_SY!$Z81-1,"")</f>
        <v>-1.1686248119449294E-2</v>
      </c>
      <c r="AE79" s="55">
        <f>IFERROR(Inv_SY!S81/Inv_SY!$Z81-1,"")</f>
        <v>7.7949927814024988E-3</v>
      </c>
      <c r="AF79" s="55">
        <f>IFERROR(Inv_SY!T81/Inv_SY!$Z81-1,"")</f>
        <v>-2.3951857289810308E-2</v>
      </c>
      <c r="AG79" s="55">
        <f>IFERROR(Inv_SY!U81/Inv_SY!$Z81-1,"")</f>
        <v>3.1356376745319325E-2</v>
      </c>
      <c r="AH79" s="55">
        <f>IFERROR(Inv_SY!V81/Inv_SY!$Y81-1,"")</f>
        <v>-3.9145329342349378E-3</v>
      </c>
      <c r="AI79" s="55">
        <f>IFERROR(Inv_SY!W81/Inv_SY!$Y81-1,"")</f>
        <v>-1.2039014869992481E-2</v>
      </c>
      <c r="AJ79" s="55">
        <f>IFERROR(Inv_SY!X81/Inv_SY!$Y81-1,"")</f>
        <v>1.5953547804227641E-2</v>
      </c>
      <c r="AK79" s="55">
        <f>IFERROR(Inv_SY!V81/Inv_SY!$Z81-1,"")</f>
        <v>-1.955609169474648E-2</v>
      </c>
      <c r="AL79" s="55">
        <f>IFERROR(Inv_SY!W81/Inv_SY!$Z81-1,"")</f>
        <v>-2.7552994656812935E-2</v>
      </c>
      <c r="AM79" s="55">
        <f>IFERROR(Inv_SY!X81/Inv_SY!$Z81-1,"")</f>
        <v>0</v>
      </c>
    </row>
    <row r="80" spans="1:39" x14ac:dyDescent="0.3">
      <c r="A80" s="273">
        <f>YEAR(Table5[[#This Row],[Date]])+IF(MONTH(Table5[[#This Row],[Date]])&gt;=4,1,0)</f>
        <v>2026</v>
      </c>
      <c r="B80" s="273"/>
      <c r="C80" s="273">
        <f>YEAR(Table5[[#This Row],[Date]])</f>
        <v>2025</v>
      </c>
      <c r="D80" s="273"/>
      <c r="E80" s="273"/>
      <c r="F80" s="274" t="str">
        <f>TEXT(Table5[[#This Row],[Date]],"mmm-yy")</f>
        <v>Jun-25</v>
      </c>
      <c r="G80" s="273">
        <f t="shared" si="5"/>
        <v>30</v>
      </c>
      <c r="H80" s="275">
        <f t="shared" si="6"/>
        <v>45823</v>
      </c>
      <c r="I80" s="273">
        <v>8.02</v>
      </c>
      <c r="J80" s="55">
        <f>IFERROR(Inv_SY!J82/Inv_SY!$Y82-1,"")</f>
        <v>0.3282820044156618</v>
      </c>
      <c r="K80" s="55">
        <f>IFERROR(Inv_SY!K82/Inv_SY!$Y82-1,"")</f>
        <v>0.32772687663197542</v>
      </c>
      <c r="L80" s="55">
        <f>IFERROR(Inv_SY!L82/Inv_SY!$Y82-1,"")</f>
        <v>-1</v>
      </c>
      <c r="M80" s="55">
        <f>IFERROR(Inv_SY!M82/Inv_SY!$Y82-1,"")</f>
        <v>0.32987028668565355</v>
      </c>
      <c r="N80" s="55">
        <f>IFERROR(Inv_SY!N82/Inv_SY!$Y82-1,"")</f>
        <v>0.30741086816588914</v>
      </c>
      <c r="O80" s="55">
        <f>IFERROR(Inv_SY!O82/Inv_SY!$Y82-1,"")</f>
        <v>0.30059311027607927</v>
      </c>
      <c r="P80" s="55">
        <f>IFERROR(Inv_SY!P82/Inv_SY!$Y82-1,"")</f>
        <v>0.32071725080600078</v>
      </c>
      <c r="Q80" s="55">
        <f>IFERROR(Inv_SY!Q82/Inv_SY!$Y82-1,"")</f>
        <v>-1</v>
      </c>
      <c r="R80" s="55">
        <f>IFERROR(Inv_SY!R82/Inv_SY!$Y82-1,"")</f>
        <v>4.0468924555482788E-2</v>
      </c>
      <c r="S80" s="55">
        <f>IFERROR(Inv_SY!S82/Inv_SY!$Y82-1,"")</f>
        <v>3.8298979342072492E-2</v>
      </c>
      <c r="T80" s="55">
        <f>IFERROR(Inv_SY!T82/Inv_SY!$Y82-1,"")</f>
        <v>6.2095155918950873E-3</v>
      </c>
      <c r="U80" s="55">
        <f>IFERROR(Inv_SY!U82/Inv_SY!$Y82-1,"")</f>
        <v>7.4346118397161653E-4</v>
      </c>
      <c r="V80" s="55">
        <f>IFERROR(Inv_SY!J82/Inv_SY!$Z82-1,"")</f>
        <v>0.30176777034580282</v>
      </c>
      <c r="W80" s="55">
        <f>IFERROR(Inv_SY!K82/Inv_SY!$Z82-1,"")</f>
        <v>0.30122372363371608</v>
      </c>
      <c r="X80" s="55">
        <f>IFERROR(Inv_SY!L82/Inv_SY!$Z82-1,"")</f>
        <v>-1</v>
      </c>
      <c r="Y80" s="55">
        <f>IFERROR(Inv_SY!M82/Inv_SY!$Z82-1,"")</f>
        <v>0.30332434843871803</v>
      </c>
      <c r="Z80" s="55">
        <f>IFERROR(Inv_SY!N82/Inv_SY!$Z82-1,"")</f>
        <v>0.28131324908440658</v>
      </c>
      <c r="AA80" s="55">
        <f>IFERROR(Inv_SY!O82/Inv_SY!$Z82-1,"")</f>
        <v>0.27463158249743835</v>
      </c>
      <c r="AB80" s="55">
        <f>IFERROR(Inv_SY!P82/Inv_SY!$Z82-1,"")</f>
        <v>0.29435401904379987</v>
      </c>
      <c r="AC80" s="55">
        <f>IFERROR(Inv_SY!Q82/Inv_SY!$Z82-1,"")</f>
        <v>-1</v>
      </c>
      <c r="AD80" s="55">
        <f>IFERROR(Inv_SY!R82/Inv_SY!$Z82-1,"")</f>
        <v>1.9699813390557486E-2</v>
      </c>
      <c r="AE80" s="55">
        <f>IFERROR(Inv_SY!S82/Inv_SY!$Z82-1,"")</f>
        <v>1.7573183102077339E-2</v>
      </c>
      <c r="AF80" s="55">
        <f>IFERROR(Inv_SY!T82/Inv_SY!$Z82-1,"")</f>
        <v>-1.3875733271699664E-2</v>
      </c>
      <c r="AG80" s="55">
        <f>IFERROR(Inv_SY!U82/Inv_SY!$Z82-1,"")</f>
        <v>-1.9232678133962899E-2</v>
      </c>
      <c r="AH80" s="55">
        <f>IFERROR(Inv_SY!V82/Inv_SY!$Y82-1,"")</f>
        <v>-4.1908669893799821E-3</v>
      </c>
      <c r="AI80" s="55">
        <f>IFERROR(Inv_SY!W82/Inv_SY!$Y82-1,"")</f>
        <v>-1.6177000977435685E-2</v>
      </c>
      <c r="AJ80" s="55">
        <f>IFERROR(Inv_SY!X82/Inv_SY!$Y82-1,"")</f>
        <v>2.0367867966815334E-2</v>
      </c>
      <c r="AK80" s="55">
        <f>IFERROR(Inv_SY!V82/Inv_SY!$Z82-1,"")</f>
        <v>-2.4068510707938251E-2</v>
      </c>
      <c r="AL80" s="55">
        <f>IFERROR(Inv_SY!W82/Inv_SY!$Z82-1,"")</f>
        <v>-3.5815385893197993E-2</v>
      </c>
      <c r="AM80" s="55">
        <f>IFERROR(Inv_SY!X82/Inv_SY!$Z82-1,"")</f>
        <v>0</v>
      </c>
    </row>
    <row r="81" spans="1:39" x14ac:dyDescent="0.3">
      <c r="A81" s="273">
        <f>YEAR(Table5[[#This Row],[Date]])+IF(MONTH(Table5[[#This Row],[Date]])&gt;=4,1,0)</f>
        <v>2026</v>
      </c>
      <c r="B81" s="273"/>
      <c r="C81" s="273">
        <f>YEAR(Table5[[#This Row],[Date]])</f>
        <v>2025</v>
      </c>
      <c r="D81" s="273"/>
      <c r="E81" s="273"/>
      <c r="F81" s="274" t="str">
        <f>TEXT(Table5[[#This Row],[Date]],"mmm-yy")</f>
        <v>Jun-25</v>
      </c>
      <c r="G81" s="273">
        <f t="shared" si="5"/>
        <v>30</v>
      </c>
      <c r="H81" s="275">
        <f t="shared" si="6"/>
        <v>45824</v>
      </c>
      <c r="I81" s="273">
        <v>8.02</v>
      </c>
      <c r="J81" s="55">
        <f>IFERROR(Inv_SY!J83/Inv_SY!$Y83-1,"")</f>
        <v>0.32436942805164359</v>
      </c>
      <c r="K81" s="55">
        <f>IFERROR(Inv_SY!K83/Inv_SY!$Y83-1,"")</f>
        <v>0.37526019907514274</v>
      </c>
      <c r="L81" s="55">
        <f>IFERROR(Inv_SY!L83/Inv_SY!$Y83-1,"")</f>
        <v>-1</v>
      </c>
      <c r="M81" s="55">
        <f>IFERROR(Inv_SY!M83/Inv_SY!$Y83-1,"")</f>
        <v>0.30439505381912735</v>
      </c>
      <c r="N81" s="55">
        <f>IFERROR(Inv_SY!N83/Inv_SY!$Y83-1,"")</f>
        <v>0.34416283879114906</v>
      </c>
      <c r="O81" s="55">
        <f>IFERROR(Inv_SY!O83/Inv_SY!$Y83-1,"")</f>
        <v>0.28171910460193406</v>
      </c>
      <c r="P81" s="55">
        <f>IFERROR(Inv_SY!P83/Inv_SY!$Y83-1,"")</f>
        <v>0.2819157777804826</v>
      </c>
      <c r="Q81" s="55">
        <f>IFERROR(Inv_SY!Q83/Inv_SY!$Y83-1,"")</f>
        <v>-1</v>
      </c>
      <c r="R81" s="55">
        <f>IFERROR(Inv_SY!R83/Inv_SY!$Y83-1,"")</f>
        <v>1.2083496857272946E-2</v>
      </c>
      <c r="S81" s="55">
        <f>IFERROR(Inv_SY!S83/Inv_SY!$Y83-1,"")</f>
        <v>3.2028318698824387E-2</v>
      </c>
      <c r="T81" s="55">
        <f>IFERROR(Inv_SY!T83/Inv_SY!$Y83-1,"")</f>
        <v>5.1060925737972385E-2</v>
      </c>
      <c r="U81" s="55">
        <f>IFERROR(Inv_SY!U83/Inv_SY!$Y83-1,"")</f>
        <v>-6.6697840415264054E-3</v>
      </c>
      <c r="V81" s="55">
        <f>IFERROR(Inv_SY!J83/Inv_SY!$Z83-1,"")</f>
        <v>0.29687503756462519</v>
      </c>
      <c r="W81" s="55">
        <f>IFERROR(Inv_SY!K83/Inv_SY!$Z83-1,"")</f>
        <v>0.34670929769239645</v>
      </c>
      <c r="X81" s="55">
        <f>IFERROR(Inv_SY!L83/Inv_SY!$Z83-1,"")</f>
        <v>-1</v>
      </c>
      <c r="Y81" s="55">
        <f>IFERROR(Inv_SY!M83/Inv_SY!$Z83-1,"")</f>
        <v>0.2773153385981264</v>
      </c>
      <c r="Z81" s="55">
        <f>IFERROR(Inv_SY!N83/Inv_SY!$Z83-1,"")</f>
        <v>0.31625752990597444</v>
      </c>
      <c r="AA81" s="55">
        <f>IFERROR(Inv_SY!O83/Inv_SY!$Z83-1,"")</f>
        <v>0.25511015032514961</v>
      </c>
      <c r="AB81" s="55">
        <f>IFERROR(Inv_SY!P83/Inv_SY!$Z83-1,"")</f>
        <v>0.25530274049705759</v>
      </c>
      <c r="AC81" s="55">
        <f>IFERROR(Inv_SY!Q83/Inv_SY!$Z83-1,"")</f>
        <v>-1</v>
      </c>
      <c r="AD81" s="55">
        <f>IFERROR(Inv_SY!R83/Inv_SY!$Z83-1,"")</f>
        <v>-8.9277242406032853E-3</v>
      </c>
      <c r="AE81" s="55">
        <f>IFERROR(Inv_SY!S83/Inv_SY!$Z83-1,"")</f>
        <v>1.0603035853303799E-2</v>
      </c>
      <c r="AF81" s="55">
        <f>IFERROR(Inv_SY!T83/Inv_SY!$Z83-1,"")</f>
        <v>2.924051905552516E-2</v>
      </c>
      <c r="AG81" s="55">
        <f>IFERROR(Inv_SY!U83/Inv_SY!$Z83-1,"")</f>
        <v>-2.7291680214632241E-2</v>
      </c>
      <c r="AH81" s="55">
        <f>IFERROR(Inv_SY!V83/Inv_SY!$Y83-1,"")</f>
        <v>2.1613335657644228E-4</v>
      </c>
      <c r="AI81" s="55">
        <f>IFERROR(Inv_SY!W83/Inv_SY!$Y83-1,"")</f>
        <v>-2.1416626612002165E-2</v>
      </c>
      <c r="AJ81" s="55">
        <f>IFERROR(Inv_SY!X83/Inv_SY!$Y83-1,"")</f>
        <v>2.1200493255425501E-2</v>
      </c>
      <c r="AK81" s="55">
        <f>IFERROR(Inv_SY!V83/Inv_SY!$Z83-1,"")</f>
        <v>-2.0548716963457614E-2</v>
      </c>
      <c r="AL81" s="55">
        <f>IFERROR(Inv_SY!W83/Inv_SY!$Z83-1,"")</f>
        <v>-4.1732372975624932E-2</v>
      </c>
      <c r="AM81" s="55">
        <f>IFERROR(Inv_SY!X83/Inv_SY!$Z83-1,"")</f>
        <v>0</v>
      </c>
    </row>
    <row r="82" spans="1:39" x14ac:dyDescent="0.3">
      <c r="A82" s="273">
        <f>YEAR(Table5[[#This Row],[Date]])+IF(MONTH(Table5[[#This Row],[Date]])&gt;=4,1,0)</f>
        <v>2026</v>
      </c>
      <c r="B82" s="273"/>
      <c r="C82" s="273">
        <f>YEAR(Table5[[#This Row],[Date]])</f>
        <v>2025</v>
      </c>
      <c r="D82" s="273"/>
      <c r="E82" s="273"/>
      <c r="F82" s="274" t="str">
        <f>TEXT(Table5[[#This Row],[Date]],"mmm-yy")</f>
        <v>Jun-25</v>
      </c>
      <c r="G82" s="273">
        <f t="shared" si="5"/>
        <v>30</v>
      </c>
      <c r="H82" s="275">
        <f t="shared" si="6"/>
        <v>45825</v>
      </c>
      <c r="I82" s="273">
        <v>8.02</v>
      </c>
      <c r="J82" s="55">
        <f>IFERROR(Inv_SY!J84/Inv_SY!$Y84-1,"")</f>
        <v>0.32807536595116682</v>
      </c>
      <c r="K82" s="55">
        <f>IFERROR(Inv_SY!K84/Inv_SY!$Y84-1,"")</f>
        <v>0.32714075978230617</v>
      </c>
      <c r="L82" s="55">
        <f>IFERROR(Inv_SY!L84/Inv_SY!$Y84-1,"")</f>
        <v>-1</v>
      </c>
      <c r="M82" s="55">
        <f>IFERROR(Inv_SY!M84/Inv_SY!$Y84-1,"")</f>
        <v>0.30763464538707663</v>
      </c>
      <c r="N82" s="55">
        <f>IFERROR(Inv_SY!N84/Inv_SY!$Y84-1,"")</f>
        <v>0.31189129120243408</v>
      </c>
      <c r="O82" s="55">
        <f>IFERROR(Inv_SY!O84/Inv_SY!$Y84-1,"")</f>
        <v>0.30412666575393676</v>
      </c>
      <c r="P82" s="55">
        <f>IFERROR(Inv_SY!P84/Inv_SY!$Y84-1,"")</f>
        <v>0.30396146095716037</v>
      </c>
      <c r="Q82" s="55">
        <f>IFERROR(Inv_SY!Q84/Inv_SY!$Y84-1,"")</f>
        <v>-1</v>
      </c>
      <c r="R82" s="55">
        <f>IFERROR(Inv_SY!R84/Inv_SY!$Y84-1,"")</f>
        <v>3.2780974279290387E-2</v>
      </c>
      <c r="S82" s="55">
        <f>IFERROR(Inv_SY!S84/Inv_SY!$Y84-1,"")</f>
        <v>5.2952602226745027E-2</v>
      </c>
      <c r="T82" s="55">
        <f>IFERROR(Inv_SY!T84/Inv_SY!$Y84-1,"")</f>
        <v>1.9605918521586441E-2</v>
      </c>
      <c r="U82" s="55">
        <f>IFERROR(Inv_SY!U84/Inv_SY!$Y84-1,"")</f>
        <v>1.240389892680227E-2</v>
      </c>
      <c r="V82" s="55">
        <f>IFERROR(Inv_SY!J84/Inv_SY!$Z84-1,"")</f>
        <v>0.29143906813554055</v>
      </c>
      <c r="W82" s="55">
        <f>IFERROR(Inv_SY!K84/Inv_SY!$Z84-1,"")</f>
        <v>0.29053024402003369</v>
      </c>
      <c r="X82" s="55">
        <f>IFERROR(Inv_SY!L84/Inv_SY!$Z84-1,"")</f>
        <v>-1</v>
      </c>
      <c r="Y82" s="55">
        <f>IFERROR(Inv_SY!M84/Inv_SY!$Z84-1,"")</f>
        <v>0.27156222545470254</v>
      </c>
      <c r="Z82" s="55">
        <f>IFERROR(Inv_SY!N84/Inv_SY!$Z84-1,"")</f>
        <v>0.27570144740407665</v>
      </c>
      <c r="AA82" s="55">
        <f>IFERROR(Inv_SY!O84/Inv_SY!$Z84-1,"")</f>
        <v>0.26815101697617183</v>
      </c>
      <c r="AB82" s="55">
        <f>IFERROR(Inv_SY!P84/Inv_SY!$Z84-1,"")</f>
        <v>0.26799036952025901</v>
      </c>
      <c r="AC82" s="55">
        <f>IFERROR(Inv_SY!Q84/Inv_SY!$Z84-1,"")</f>
        <v>-1</v>
      </c>
      <c r="AD82" s="55">
        <f>IFERROR(Inv_SY!R84/Inv_SY!$Z84-1,"")</f>
        <v>4.2906699471190191E-3</v>
      </c>
      <c r="AE82" s="55">
        <f>IFERROR(Inv_SY!S84/Inv_SY!$Z84-1,"")</f>
        <v>2.3905843202426169E-2</v>
      </c>
      <c r="AF82" s="55">
        <f>IFERROR(Inv_SY!T84/Inv_SY!$Z84-1,"")</f>
        <v>-8.5209386156053224E-3</v>
      </c>
      <c r="AG82" s="55">
        <f>IFERROR(Inv_SY!U84/Inv_SY!$Z84-1,"")</f>
        <v>-1.552428323944044E-2</v>
      </c>
      <c r="AH82" s="55">
        <f>IFERROR(Inv_SY!V84/Inv_SY!$Y84-1,"")</f>
        <v>-1.0002475130816868E-2</v>
      </c>
      <c r="AI82" s="55">
        <f>IFERROR(Inv_SY!W84/Inv_SY!$Y84-1,"")</f>
        <v>-1.836610897011004E-2</v>
      </c>
      <c r="AJ82" s="55">
        <f>IFERROR(Inv_SY!X84/Inv_SY!$Y84-1,"")</f>
        <v>2.8368584100927352E-2</v>
      </c>
      <c r="AK82" s="55">
        <f>IFERROR(Inv_SY!V84/Inv_SY!$Z84-1,"")</f>
        <v>-3.7312554880593707E-2</v>
      </c>
      <c r="AL82" s="55">
        <f>IFERROR(Inv_SY!W84/Inv_SY!$Z84-1,"")</f>
        <v>-4.5445469448968212E-2</v>
      </c>
      <c r="AM82" s="55">
        <f>IFERROR(Inv_SY!X84/Inv_SY!$Z84-1,"")</f>
        <v>0</v>
      </c>
    </row>
    <row r="83" spans="1:39" x14ac:dyDescent="0.3">
      <c r="A83" s="273">
        <f>YEAR(Table5[[#This Row],[Date]])+IF(MONTH(Table5[[#This Row],[Date]])&gt;=4,1,0)</f>
        <v>2026</v>
      </c>
      <c r="B83" s="273"/>
      <c r="C83" s="273">
        <f>YEAR(Table5[[#This Row],[Date]])</f>
        <v>2025</v>
      </c>
      <c r="D83" s="273"/>
      <c r="E83" s="273"/>
      <c r="F83" s="274" t="str">
        <f>TEXT(Table5[[#This Row],[Date]],"mmm-yy")</f>
        <v>Jun-25</v>
      </c>
      <c r="G83" s="273">
        <f t="shared" si="5"/>
        <v>30</v>
      </c>
      <c r="H83" s="275">
        <f t="shared" si="6"/>
        <v>45826</v>
      </c>
      <c r="I83" s="273">
        <v>8.02</v>
      </c>
      <c r="J83" s="55">
        <f>IFERROR(Inv_SY!J85/Inv_SY!$Y85-1,"")</f>
        <v>0.31519779389564673</v>
      </c>
      <c r="K83" s="55">
        <f>IFERROR(Inv_SY!K85/Inv_SY!$Y85-1,"")</f>
        <v>0.31424538907609234</v>
      </c>
      <c r="L83" s="55">
        <f>IFERROR(Inv_SY!L85/Inv_SY!$Y85-1,"")</f>
        <v>-1</v>
      </c>
      <c r="M83" s="55">
        <f>IFERROR(Inv_SY!M85/Inv_SY!$Y85-1,"")</f>
        <v>0.33931142800832492</v>
      </c>
      <c r="N83" s="55">
        <f>IFERROR(Inv_SY!N85/Inv_SY!$Y85-1,"")</f>
        <v>0.29874509071395994</v>
      </c>
      <c r="O83" s="55">
        <f>IFERROR(Inv_SY!O85/Inv_SY!$Y85-1,"")</f>
        <v>0.28984677128384662</v>
      </c>
      <c r="P83" s="55">
        <f>IFERROR(Inv_SY!P85/Inv_SY!$Y85-1,"")</f>
        <v>0.33977416189381215</v>
      </c>
      <c r="Q83" s="55">
        <f>IFERROR(Inv_SY!Q85/Inv_SY!$Y85-1,"")</f>
        <v>-1</v>
      </c>
      <c r="R83" s="55">
        <f>IFERROR(Inv_SY!R85/Inv_SY!$Y85-1,"")</f>
        <v>6.3847726315593434E-2</v>
      </c>
      <c r="S83" s="55">
        <f>IFERROR(Inv_SY!S85/Inv_SY!$Y85-1,"")</f>
        <v>3.7173275316862098E-2</v>
      </c>
      <c r="T83" s="55">
        <f>IFERROR(Inv_SY!T85/Inv_SY!$Y85-1,"")</f>
        <v>4.6546391986621583E-3</v>
      </c>
      <c r="U83" s="55">
        <f>IFERROR(Inv_SY!U85/Inv_SY!$Y85-1,"")</f>
        <v>-2.631216948323245E-3</v>
      </c>
      <c r="V83" s="55">
        <f>IFERROR(Inv_SY!J85/Inv_SY!$Z85-1,"")</f>
        <v>0.28352754938286129</v>
      </c>
      <c r="W83" s="55">
        <f>IFERROR(Inv_SY!K85/Inv_SY!$Z85-1,"")</f>
        <v>0.28259807867530906</v>
      </c>
      <c r="X83" s="55">
        <f>IFERROR(Inv_SY!L85/Inv_SY!$Z85-1,"")</f>
        <v>-1</v>
      </c>
      <c r="Y83" s="55">
        <f>IFERROR(Inv_SY!M85/Inv_SY!$Z85-1,"")</f>
        <v>0.30706052202242473</v>
      </c>
      <c r="Z83" s="55">
        <f>IFERROR(Inv_SY!N85/Inv_SY!$Z85-1,"")</f>
        <v>0.26747103081696277</v>
      </c>
      <c r="AA83" s="55">
        <f>IFERROR(Inv_SY!O85/Inv_SY!$Z85-1,"")</f>
        <v>0.25878698482420814</v>
      </c>
      <c r="AB83" s="55">
        <f>IFERROR(Inv_SY!P85/Inv_SY!$Z85-1,"")</f>
        <v>0.30751211317685989</v>
      </c>
      <c r="AC83" s="55">
        <f>IFERROR(Inv_SY!Q85/Inv_SY!$Z85-1,"")</f>
        <v>-1</v>
      </c>
      <c r="AD83" s="55">
        <f>IFERROR(Inv_SY!R85/Inv_SY!$Z85-1,"")</f>
        <v>3.8230045254109557E-2</v>
      </c>
      <c r="AE83" s="55">
        <f>IFERROR(Inv_SY!S85/Inv_SY!$Z85-1,"")</f>
        <v>1.2197920747480939E-2</v>
      </c>
      <c r="AF83" s="55">
        <f>IFERROR(Inv_SY!T85/Inv_SY!$Z85-1,"")</f>
        <v>-1.9537659649468742E-2</v>
      </c>
      <c r="AG83" s="55">
        <f>IFERROR(Inv_SY!U85/Inv_SY!$Z85-1,"")</f>
        <v>-2.6648070820245229E-2</v>
      </c>
      <c r="AH83" s="55">
        <f>IFERROR(Inv_SY!V85/Inv_SY!$Y85-1,"")</f>
        <v>-8.4084276201509267E-3</v>
      </c>
      <c r="AI83" s="55">
        <f>IFERROR(Inv_SY!W85/Inv_SY!$Y85-1,"")</f>
        <v>-1.6265950836324317E-2</v>
      </c>
      <c r="AJ83" s="55">
        <f>IFERROR(Inv_SY!X85/Inv_SY!$Y85-1,"")</f>
        <v>2.4674378456475798E-2</v>
      </c>
      <c r="AK83" s="55">
        <f>IFERROR(Inv_SY!V85/Inv_SY!$Z85-1,"")</f>
        <v>-3.2286165021966462E-2</v>
      </c>
      <c r="AL83" s="55">
        <f>IFERROR(Inv_SY!W85/Inv_SY!$Z85-1,"")</f>
        <v>-3.9954477396488497E-2</v>
      </c>
      <c r="AM83" s="55">
        <f>IFERROR(Inv_SY!X85/Inv_SY!$Z85-1,"")</f>
        <v>0</v>
      </c>
    </row>
    <row r="84" spans="1:39" x14ac:dyDescent="0.3">
      <c r="A84" s="273">
        <f>YEAR(Table5[[#This Row],[Date]])+IF(MONTH(Table5[[#This Row],[Date]])&gt;=4,1,0)</f>
        <v>2026</v>
      </c>
      <c r="B84" s="273"/>
      <c r="C84" s="273">
        <f>YEAR(Table5[[#This Row],[Date]])</f>
        <v>2025</v>
      </c>
      <c r="D84" s="273"/>
      <c r="E84" s="273"/>
      <c r="F84" s="274" t="str">
        <f>TEXT(Table5[[#This Row],[Date]],"mmm-yy")</f>
        <v>Jun-25</v>
      </c>
      <c r="G84" s="273">
        <f t="shared" si="5"/>
        <v>30</v>
      </c>
      <c r="H84" s="275">
        <f t="shared" si="6"/>
        <v>45827</v>
      </c>
      <c r="I84" s="273">
        <v>8.02</v>
      </c>
      <c r="J84" s="55">
        <f>IFERROR(Inv_SY!J86/Inv_SY!$Y86-1,"")</f>
        <v>0.33766727055881041</v>
      </c>
      <c r="K84" s="55">
        <f>IFERROR(Inv_SY!K86/Inv_SY!$Y86-1,"")</f>
        <v>0.33610534925357949</v>
      </c>
      <c r="L84" s="55">
        <f>IFERROR(Inv_SY!L86/Inv_SY!$Y86-1,"")</f>
        <v>-1</v>
      </c>
      <c r="M84" s="55">
        <f>IFERROR(Inv_SY!M86/Inv_SY!$Y86-1,"")</f>
        <v>0.31662077539539379</v>
      </c>
      <c r="N84" s="55">
        <f>IFERROR(Inv_SY!N86/Inv_SY!$Y86-1,"")</f>
        <v>0.31827244445570302</v>
      </c>
      <c r="O84" s="55">
        <f>IFERROR(Inv_SY!O86/Inv_SY!$Y86-1,"")</f>
        <v>0.30966131547137388</v>
      </c>
      <c r="P84" s="55">
        <f>IFERROR(Inv_SY!P86/Inv_SY!$Y86-1,"")</f>
        <v>0.31019049099555018</v>
      </c>
      <c r="Q84" s="55">
        <f>IFERROR(Inv_SY!Q86/Inv_SY!$Y86-1,"")</f>
        <v>-1</v>
      </c>
      <c r="R84" s="55">
        <f>IFERROR(Inv_SY!R86/Inv_SY!$Y86-1,"")</f>
        <v>2.0712453082827764E-2</v>
      </c>
      <c r="S84" s="55">
        <f>IFERROR(Inv_SY!S86/Inv_SY!$Y86-1,"")</f>
        <v>4.1187084278678565E-2</v>
      </c>
      <c r="T84" s="55">
        <f>IFERROR(Inv_SY!T86/Inv_SY!$Y86-1,"")</f>
        <v>8.1446960080073794E-3</v>
      </c>
      <c r="U84" s="55">
        <f>IFERROR(Inv_SY!U86/Inv_SY!$Y86-1,"")</f>
        <v>1.9463211666121971E-3</v>
      </c>
      <c r="V84" s="55">
        <f>IFERROR(Inv_SY!J86/Inv_SY!$Z86-1,"")</f>
        <v>0.31537881681144952</v>
      </c>
      <c r="W84" s="55">
        <f>IFERROR(Inv_SY!K86/Inv_SY!$Z86-1,"")</f>
        <v>0.31384292052120921</v>
      </c>
      <c r="X84" s="55">
        <f>IFERROR(Inv_SY!L86/Inv_SY!$Z86-1,"")</f>
        <v>-1</v>
      </c>
      <c r="Y84" s="55">
        <f>IFERROR(Inv_SY!M86/Inv_SY!$Z86-1,"")</f>
        <v>0.29468300215305709</v>
      </c>
      <c r="Z84" s="55">
        <f>IFERROR(Inv_SY!N86/Inv_SY!$Z86-1,"")</f>
        <v>0.2963071508050652</v>
      </c>
      <c r="AA84" s="55">
        <f>IFERROR(Inv_SY!O86/Inv_SY!$Z86-1,"")</f>
        <v>0.28783950200770336</v>
      </c>
      <c r="AB84" s="55">
        <f>IFERROR(Inv_SY!P86/Inv_SY!$Z86-1,"")</f>
        <v>0.28835986031368632</v>
      </c>
      <c r="AC84" s="55">
        <f>IFERROR(Inv_SY!Q86/Inv_SY!$Z86-1,"")</f>
        <v>-1</v>
      </c>
      <c r="AD84" s="55">
        <f>IFERROR(Inv_SY!R86/Inv_SY!$Z86-1,"")</f>
        <v>3.7051577706026517E-3</v>
      </c>
      <c r="AE84" s="55">
        <f>IFERROR(Inv_SY!S86/Inv_SY!$Z86-1,"")</f>
        <v>2.3838636962179471E-2</v>
      </c>
      <c r="AF84" s="55">
        <f>IFERROR(Inv_SY!T86/Inv_SY!$Z86-1,"")</f>
        <v>-8.6531930651361222E-3</v>
      </c>
      <c r="AG84" s="55">
        <f>IFERROR(Inv_SY!U86/Inv_SY!$Z86-1,"")</f>
        <v>-1.4748289465022046E-2</v>
      </c>
      <c r="AH84" s="55">
        <f>IFERROR(Inv_SY!V86/Inv_SY!$Y86-1,"")</f>
        <v>-3.1221992854587599E-3</v>
      </c>
      <c r="AI84" s="55">
        <f>IFERROR(Inv_SY!W86/Inv_SY!$Y86-1,"")</f>
        <v>-1.382231393194977E-2</v>
      </c>
      <c r="AJ84" s="55">
        <f>IFERROR(Inv_SY!X86/Inv_SY!$Y86-1,"")</f>
        <v>1.6944513217408641E-2</v>
      </c>
      <c r="AK84" s="55">
        <f>IFERROR(Inv_SY!V86/Inv_SY!$Z86-1,"")</f>
        <v>-1.9732357313557158E-2</v>
      </c>
      <c r="AL84" s="55">
        <f>IFERROR(Inv_SY!W86/Inv_SY!$Z86-1,"")</f>
        <v>-3.025418471654695E-2</v>
      </c>
      <c r="AM84" s="55">
        <f>IFERROR(Inv_SY!X86/Inv_SY!$Z86-1,"")</f>
        <v>0</v>
      </c>
    </row>
    <row r="85" spans="1:39" x14ac:dyDescent="0.3">
      <c r="A85" s="273">
        <f>YEAR(Table5[[#This Row],[Date]])+IF(MONTH(Table5[[#This Row],[Date]])&gt;=4,1,0)</f>
        <v>2026</v>
      </c>
      <c r="B85" s="273"/>
      <c r="C85" s="273">
        <f>YEAR(Table5[[#This Row],[Date]])</f>
        <v>2025</v>
      </c>
      <c r="D85" s="273"/>
      <c r="E85" s="273"/>
      <c r="F85" s="274" t="str">
        <f>TEXT(Table5[[#This Row],[Date]],"mmm-yy")</f>
        <v>Jun-25</v>
      </c>
      <c r="G85" s="273">
        <f t="shared" si="5"/>
        <v>30</v>
      </c>
      <c r="H85" s="275">
        <f t="shared" si="6"/>
        <v>45828</v>
      </c>
      <c r="I85" s="273">
        <v>8.02</v>
      </c>
      <c r="J85" s="55">
        <f>IFERROR(Inv_SY!J87/Inv_SY!$Y87-1,"")</f>
        <v>0.31607482635609352</v>
      </c>
      <c r="K85" s="55">
        <f>IFERROR(Inv_SY!K87/Inv_SY!$Y87-1,"")</f>
        <v>0.33838374720461961</v>
      </c>
      <c r="L85" s="55">
        <f>IFERROR(Inv_SY!L87/Inv_SY!$Y87-1,"")</f>
        <v>-1</v>
      </c>
      <c r="M85" s="55">
        <f>IFERROR(Inv_SY!M87/Inv_SY!$Y87-1,"")</f>
        <v>0.29678756277397778</v>
      </c>
      <c r="N85" s="55">
        <f>IFERROR(Inv_SY!N87/Inv_SY!$Y87-1,"")</f>
        <v>0.32629325465646919</v>
      </c>
      <c r="O85" s="55">
        <f>IFERROR(Inv_SY!O87/Inv_SY!$Y87-1,"")</f>
        <v>0.29514930820874263</v>
      </c>
      <c r="P85" s="55">
        <f>IFERROR(Inv_SY!P87/Inv_SY!$Y87-1,"")</f>
        <v>0.29603473561084104</v>
      </c>
      <c r="Q85" s="55">
        <f>IFERROR(Inv_SY!Q87/Inv_SY!$Y87-1,"")</f>
        <v>-1</v>
      </c>
      <c r="R85" s="55">
        <f>IFERROR(Inv_SY!R87/Inv_SY!$Y87-1,"")</f>
        <v>3.0914524775521812E-2</v>
      </c>
      <c r="S85" s="55">
        <f>IFERROR(Inv_SY!S87/Inv_SY!$Y87-1,"")</f>
        <v>5.113923422729405E-2</v>
      </c>
      <c r="T85" s="55">
        <f>IFERROR(Inv_SY!T87/Inv_SY!$Y87-1,"")</f>
        <v>3.9172668117355425E-2</v>
      </c>
      <c r="U85" s="55">
        <f>IFERROR(Inv_SY!U87/Inv_SY!$Y87-1,"")</f>
        <v>1.0530527394051692E-2</v>
      </c>
      <c r="V85" s="55">
        <f>IFERROR(Inv_SY!J87/Inv_SY!$Z87-1,"")</f>
        <v>0.27536226289305388</v>
      </c>
      <c r="W85" s="55">
        <f>IFERROR(Inv_SY!K87/Inv_SY!$Z87-1,"")</f>
        <v>0.29698106085673448</v>
      </c>
      <c r="X85" s="55">
        <f>IFERROR(Inv_SY!L87/Inv_SY!$Z87-1,"")</f>
        <v>-1</v>
      </c>
      <c r="Y85" s="55">
        <f>IFERROR(Inv_SY!M87/Inv_SY!$Z87-1,"")</f>
        <v>0.25667164771336171</v>
      </c>
      <c r="Z85" s="55">
        <f>IFERROR(Inv_SY!N87/Inv_SY!$Z87-1,"")</f>
        <v>0.2852645857544831</v>
      </c>
      <c r="AA85" s="55">
        <f>IFERROR(Inv_SY!O87/Inv_SY!$Z87-1,"")</f>
        <v>0.25508407229008712</v>
      </c>
      <c r="AB85" s="55">
        <f>IFERROR(Inv_SY!P87/Inv_SY!$Z87-1,"")</f>
        <v>0.25594210913765325</v>
      </c>
      <c r="AC85" s="55">
        <f>IFERROR(Inv_SY!Q87/Inv_SY!$Z87-1,"")</f>
        <v>-1</v>
      </c>
      <c r="AD85" s="55">
        <f>IFERROR(Inv_SY!R87/Inv_SY!$Z87-1,"")</f>
        <v>-9.7665053941164981E-4</v>
      </c>
      <c r="AE85" s="55">
        <f>IFERROR(Inv_SY!S87/Inv_SY!$Z87-1,"")</f>
        <v>1.8622410772462183E-2</v>
      </c>
      <c r="AF85" s="55">
        <f>IFERROR(Inv_SY!T87/Inv_SY!$Z87-1,"")</f>
        <v>7.0260284639527271E-3</v>
      </c>
      <c r="AG85" s="55">
        <f>IFERROR(Inv_SY!U87/Inv_SY!$Z87-1,"")</f>
        <v>-2.0730072234451113E-2</v>
      </c>
      <c r="AH85" s="55">
        <f>IFERROR(Inv_SY!V87/Inv_SY!$Y87-1,"")</f>
        <v>-1.29296672724456E-2</v>
      </c>
      <c r="AI85" s="55">
        <f>IFERROR(Inv_SY!W87/Inv_SY!$Y87-1,"")</f>
        <v>-1.8992685025078559E-2</v>
      </c>
      <c r="AJ85" s="55">
        <f>IFERROR(Inv_SY!X87/Inv_SY!$Y87-1,"")</f>
        <v>3.1922352297524048E-2</v>
      </c>
      <c r="AK85" s="55">
        <f>IFERROR(Inv_SY!V87/Inv_SY!$Z87-1,"")</f>
        <v>-4.3464529545376163E-2</v>
      </c>
      <c r="AL85" s="55">
        <f>IFERROR(Inv_SY!W87/Inv_SY!$Z87-1,"")</f>
        <v>-4.9339988817223457E-2</v>
      </c>
      <c r="AM85" s="55">
        <f>IFERROR(Inv_SY!X87/Inv_SY!$Z87-1,"")</f>
        <v>0</v>
      </c>
    </row>
    <row r="86" spans="1:39" x14ac:dyDescent="0.3">
      <c r="A86" s="273">
        <f>YEAR(Table5[[#This Row],[Date]])+IF(MONTH(Table5[[#This Row],[Date]])&gt;=4,1,0)</f>
        <v>2026</v>
      </c>
      <c r="B86" s="273"/>
      <c r="C86" s="273">
        <f>YEAR(Table5[[#This Row],[Date]])</f>
        <v>2025</v>
      </c>
      <c r="D86" s="273"/>
      <c r="E86" s="273"/>
      <c r="F86" s="274" t="str">
        <f>TEXT(Table5[[#This Row],[Date]],"mmm-yy")</f>
        <v>Jun-25</v>
      </c>
      <c r="G86" s="273">
        <f t="shared" si="5"/>
        <v>30</v>
      </c>
      <c r="H86" s="275">
        <f t="shared" si="6"/>
        <v>45829</v>
      </c>
      <c r="I86" s="273">
        <v>8.02</v>
      </c>
      <c r="J86" s="55">
        <f>IFERROR(Inv_SY!J88/Inv_SY!$Y88-1,"")</f>
        <v>0.32448145499396941</v>
      </c>
      <c r="K86" s="55">
        <f>IFERROR(Inv_SY!K88/Inv_SY!$Y88-1,"")</f>
        <v>0.32479565565226842</v>
      </c>
      <c r="L86" s="55">
        <f>IFERROR(Inv_SY!L88/Inv_SY!$Y88-1,"")</f>
        <v>-1</v>
      </c>
      <c r="M86" s="55">
        <f>IFERROR(Inv_SY!M88/Inv_SY!$Y88-1,"")</f>
        <v>0.32918449024438301</v>
      </c>
      <c r="N86" s="55">
        <f>IFERROR(Inv_SY!N88/Inv_SY!$Y88-1,"")</f>
        <v>0.30167666819801275</v>
      </c>
      <c r="O86" s="55">
        <f>IFERROR(Inv_SY!O88/Inv_SY!$Y88-1,"")</f>
        <v>0.32048647088615367</v>
      </c>
      <c r="P86" s="55">
        <f>IFERROR(Inv_SY!P88/Inv_SY!$Y88-1,"")</f>
        <v>0.2946828705941027</v>
      </c>
      <c r="Q86" s="55">
        <f>IFERROR(Inv_SY!Q88/Inv_SY!$Y88-1,"")</f>
        <v>-1</v>
      </c>
      <c r="R86" s="55">
        <f>IFERROR(Inv_SY!R88/Inv_SY!$Y88-1,"")</f>
        <v>2.4821518221041838E-2</v>
      </c>
      <c r="S86" s="55">
        <f>IFERROR(Inv_SY!S88/Inv_SY!$Y88-1,"")</f>
        <v>4.3640491433470707E-2</v>
      </c>
      <c r="T86" s="55">
        <f>IFERROR(Inv_SY!T88/Inv_SY!$Y88-1,"")</f>
        <v>1.064196943677298E-2</v>
      </c>
      <c r="U86" s="55">
        <f>IFERROR(Inv_SY!U88/Inv_SY!$Y88-1,"")</f>
        <v>2.5677693474678964E-2</v>
      </c>
      <c r="V86" s="55">
        <f>IFERROR(Inv_SY!J88/Inv_SY!$Z88-1,"")</f>
        <v>0.2919405349255042</v>
      </c>
      <c r="W86" s="55">
        <f>IFERROR(Inv_SY!K88/Inv_SY!$Z88-1,"")</f>
        <v>0.29224701605064651</v>
      </c>
      <c r="X86" s="55">
        <f>IFERROR(Inv_SY!L88/Inv_SY!$Z88-1,"")</f>
        <v>-1</v>
      </c>
      <c r="Y86" s="55">
        <f>IFERROR(Inv_SY!M88/Inv_SY!$Z88-1,"")</f>
        <v>0.29652802224311281</v>
      </c>
      <c r="Z86" s="55">
        <f>IFERROR(Inv_SY!N88/Inv_SY!$Z88-1,"")</f>
        <v>0.26969603437705025</v>
      </c>
      <c r="AA86" s="55">
        <f>IFERROR(Inv_SY!O88/Inv_SY!$Z88-1,"")</f>
        <v>0.2880437027835292</v>
      </c>
      <c r="AB86" s="55">
        <f>IFERROR(Inv_SY!P88/Inv_SY!$Z88-1,"")</f>
        <v>0.2628740659882236</v>
      </c>
      <c r="AC86" s="55">
        <f>IFERROR(Inv_SY!Q88/Inv_SY!$Z88-1,"")</f>
        <v>-1</v>
      </c>
      <c r="AD86" s="55">
        <f>IFERROR(Inv_SY!R88/Inv_SY!$Z88-1,"")</f>
        <v>-3.5711677088856586E-4</v>
      </c>
      <c r="AE86" s="55">
        <f>IFERROR(Inv_SY!S88/Inv_SY!$Z88-1,"")</f>
        <v>1.7999496851100361E-2</v>
      </c>
      <c r="AF86" s="55">
        <f>IFERROR(Inv_SY!T88/Inv_SY!$Z88-1,"")</f>
        <v>-1.4188291055947988E-2</v>
      </c>
      <c r="AG86" s="55">
        <f>IFERROR(Inv_SY!U88/Inv_SY!$Z88-1,"")</f>
        <v>4.7802328411417072E-4</v>
      </c>
      <c r="AH86" s="55">
        <f>IFERROR(Inv_SY!V88/Inv_SY!$Y88-1,"")</f>
        <v>-6.0368587356196546E-3</v>
      </c>
      <c r="AI86" s="55">
        <f>IFERROR(Inv_SY!W88/Inv_SY!$Y88-1,"")</f>
        <v>-1.9150771181373205E-2</v>
      </c>
      <c r="AJ86" s="55">
        <f>IFERROR(Inv_SY!X88/Inv_SY!$Y88-1,"")</f>
        <v>2.518762991699286E-2</v>
      </c>
      <c r="AK86" s="55">
        <f>IFERROR(Inv_SY!V88/Inv_SY!$Z88-1,"")</f>
        <v>-3.0457340433517111E-2</v>
      </c>
      <c r="AL86" s="55">
        <f>IFERROR(Inv_SY!W88/Inv_SY!$Z88-1,"")</f>
        <v>-4.3249059786212851E-2</v>
      </c>
      <c r="AM86" s="55">
        <f>IFERROR(Inv_SY!X88/Inv_SY!$Z88-1,"")</f>
        <v>0</v>
      </c>
    </row>
    <row r="87" spans="1:39" x14ac:dyDescent="0.3">
      <c r="A87" s="273">
        <f>YEAR(Table5[[#This Row],[Date]])+IF(MONTH(Table5[[#This Row],[Date]])&gt;=4,1,0)</f>
        <v>2026</v>
      </c>
      <c r="B87" s="273"/>
      <c r="C87" s="273">
        <f>YEAR(Table5[[#This Row],[Date]])</f>
        <v>2025</v>
      </c>
      <c r="D87" s="273"/>
      <c r="E87" s="273"/>
      <c r="F87" s="274" t="str">
        <f>TEXT(Table5[[#This Row],[Date]],"mmm-yy")</f>
        <v>Jun-25</v>
      </c>
      <c r="G87" s="273">
        <f t="shared" si="5"/>
        <v>30</v>
      </c>
      <c r="H87" s="275">
        <f t="shared" si="6"/>
        <v>45830</v>
      </c>
      <c r="I87" s="273">
        <v>8.02</v>
      </c>
      <c r="J87" s="55">
        <f>IFERROR(Inv_SY!J89/Inv_SY!$Y89-1,"")</f>
        <v>0.31315212682192461</v>
      </c>
      <c r="K87" s="55">
        <f>IFERROR(Inv_SY!K89/Inv_SY!$Y89-1,"")</f>
        <v>0.31337436135815944</v>
      </c>
      <c r="L87" s="55">
        <f>IFERROR(Inv_SY!L89/Inv_SY!$Y89-1,"")</f>
        <v>-1</v>
      </c>
      <c r="M87" s="55">
        <f>IFERROR(Inv_SY!M89/Inv_SY!$Y89-1,"")</f>
        <v>0.3383306446642087</v>
      </c>
      <c r="N87" s="55">
        <f>IFERROR(Inv_SY!N89/Inv_SY!$Y89-1,"")</f>
        <v>0.29757072741723034</v>
      </c>
      <c r="O87" s="55">
        <f>IFERROR(Inv_SY!O89/Inv_SY!$Y89-1,"")</f>
        <v>0.28885830086787578</v>
      </c>
      <c r="P87" s="55">
        <f>IFERROR(Inv_SY!P89/Inv_SY!$Y89-1,"")</f>
        <v>0.33574406300199588</v>
      </c>
      <c r="Q87" s="55">
        <f>IFERROR(Inv_SY!Q89/Inv_SY!$Y89-1,"")</f>
        <v>-1</v>
      </c>
      <c r="R87" s="55">
        <f>IFERROR(Inv_SY!R89/Inv_SY!$Y89-1,"")</f>
        <v>5.2694475349611913E-2</v>
      </c>
      <c r="S87" s="55">
        <f>IFERROR(Inv_SY!S89/Inv_SY!$Y89-1,"")</f>
        <v>4.4625371078280685E-2</v>
      </c>
      <c r="T87" s="55">
        <f>IFERROR(Inv_SY!T89/Inv_SY!$Y89-1,"")</f>
        <v>1.1648986965665076E-2</v>
      </c>
      <c r="U87" s="55">
        <f>IFERROR(Inv_SY!U89/Inv_SY!$Y89-1,"")</f>
        <v>4.1464915428925941E-3</v>
      </c>
      <c r="V87" s="55">
        <f>IFERROR(Inv_SY!J89/Inv_SY!$Z89-1,"")</f>
        <v>0.27838311836377772</v>
      </c>
      <c r="W87" s="55">
        <f>IFERROR(Inv_SY!K89/Inv_SY!$Z89-1,"")</f>
        <v>0.27859946868118368</v>
      </c>
      <c r="X87" s="55">
        <f>IFERROR(Inv_SY!L89/Inv_SY!$Z89-1,"")</f>
        <v>-1</v>
      </c>
      <c r="Y87" s="55">
        <f>IFERROR(Inv_SY!M89/Inv_SY!$Z89-1,"")</f>
        <v>0.30289497155850076</v>
      </c>
      <c r="Z87" s="55">
        <f>IFERROR(Inv_SY!N89/Inv_SY!$Z89-1,"")</f>
        <v>0.26321427573497114</v>
      </c>
      <c r="AA87" s="55">
        <f>IFERROR(Inv_SY!O89/Inv_SY!$Z89-1,"")</f>
        <v>0.25473253261231044</v>
      </c>
      <c r="AB87" s="55">
        <f>IFERROR(Inv_SY!P89/Inv_SY!$Z89-1,"")</f>
        <v>0.30037687615759312</v>
      </c>
      <c r="AC87" s="55">
        <f>IFERROR(Inv_SY!Q89/Inv_SY!$Z89-1,"")</f>
        <v>-1</v>
      </c>
      <c r="AD87" s="55">
        <f>IFERROR(Inv_SY!R89/Inv_SY!$Z89-1,"")</f>
        <v>2.4821738924277303E-2</v>
      </c>
      <c r="AE87" s="55">
        <f>IFERROR(Inv_SY!S89/Inv_SY!$Z89-1,"")</f>
        <v>1.6966284502745621E-2</v>
      </c>
      <c r="AF87" s="55">
        <f>IFERROR(Inv_SY!T89/Inv_SY!$Z89-1,"")</f>
        <v>-1.5136966821435394E-2</v>
      </c>
      <c r="AG87" s="55">
        <f>IFERROR(Inv_SY!U89/Inv_SY!$Z89-1,"")</f>
        <v>-2.2440814790128827E-2</v>
      </c>
      <c r="AH87" s="55">
        <f>IFERROR(Inv_SY!V89/Inv_SY!$Y89-1,"")</f>
        <v>-9.3808702163914459E-3</v>
      </c>
      <c r="AI87" s="55">
        <f>IFERROR(Inv_SY!W89/Inv_SY!$Y89-1,"")</f>
        <v>-1.7816773399748187E-2</v>
      </c>
      <c r="AJ87" s="55">
        <f>IFERROR(Inv_SY!X89/Inv_SY!$Y89-1,"")</f>
        <v>2.7197643616139189E-2</v>
      </c>
      <c r="AK87" s="55">
        <f>IFERROR(Inv_SY!V89/Inv_SY!$Z89-1,"")</f>
        <v>-3.5610005591290017E-2</v>
      </c>
      <c r="AL87" s="55">
        <f>IFERROR(Inv_SY!W89/Inv_SY!$Z89-1,"")</f>
        <v>-4.382254700022381E-2</v>
      </c>
      <c r="AM87" s="55">
        <f>IFERROR(Inv_SY!X89/Inv_SY!$Z89-1,"")</f>
        <v>0</v>
      </c>
    </row>
    <row r="88" spans="1:39" x14ac:dyDescent="0.3">
      <c r="A88" s="273">
        <f>YEAR(Table5[[#This Row],[Date]])+IF(MONTH(Table5[[#This Row],[Date]])&gt;=4,1,0)</f>
        <v>2026</v>
      </c>
      <c r="B88" s="273"/>
      <c r="C88" s="273">
        <f>YEAR(Table5[[#This Row],[Date]])</f>
        <v>2025</v>
      </c>
      <c r="D88" s="273"/>
      <c r="E88" s="273"/>
      <c r="F88" s="274" t="str">
        <f>TEXT(Table5[[#This Row],[Date]],"mmm-yy")</f>
        <v>Jun-25</v>
      </c>
      <c r="G88" s="273">
        <f t="shared" si="5"/>
        <v>30</v>
      </c>
      <c r="H88" s="275">
        <f t="shared" si="6"/>
        <v>45831</v>
      </c>
      <c r="I88" s="273">
        <v>8.02</v>
      </c>
      <c r="J88" s="55">
        <f>IFERROR(Inv_SY!J90/Inv_SY!$Y90-1,"")</f>
        <v>0.3526254441972041</v>
      </c>
      <c r="K88" s="55">
        <f>IFERROR(Inv_SY!K90/Inv_SY!$Y90-1,"")</f>
        <v>0.32741440536914346</v>
      </c>
      <c r="L88" s="55">
        <f>IFERROR(Inv_SY!L90/Inv_SY!$Y90-1,"")</f>
        <v>-1</v>
      </c>
      <c r="M88" s="55">
        <f>IFERROR(Inv_SY!M90/Inv_SY!$Y90-1,"")</f>
        <v>0.3076805828276814</v>
      </c>
      <c r="N88" s="55">
        <f>IFERROR(Inv_SY!N90/Inv_SY!$Y90-1,"")</f>
        <v>0.33149562538989352</v>
      </c>
      <c r="O88" s="55">
        <f>IFERROR(Inv_SY!O90/Inv_SY!$Y90-1,"")</f>
        <v>0.29833691591116596</v>
      </c>
      <c r="P88" s="55">
        <f>IFERROR(Inv_SY!P90/Inv_SY!$Y90-1,"")</f>
        <v>0.29949318137105396</v>
      </c>
      <c r="Q88" s="55">
        <f>IFERROR(Inv_SY!Q90/Inv_SY!$Y90-1,"")</f>
        <v>-1</v>
      </c>
      <c r="R88" s="55">
        <f>IFERROR(Inv_SY!R90/Inv_SY!$Y90-1,"")</f>
        <v>1.8916210712699222E-2</v>
      </c>
      <c r="S88" s="55">
        <f>IFERROR(Inv_SY!S90/Inv_SY!$Y90-1,"")</f>
        <v>6.2571755180264033E-2</v>
      </c>
      <c r="T88" s="55">
        <f>IFERROR(Inv_SY!T90/Inv_SY!$Y90-1,"")</f>
        <v>4.8118433149784146E-3</v>
      </c>
      <c r="U88" s="55">
        <f>IFERROR(Inv_SY!U90/Inv_SY!$Y90-1,"")</f>
        <v>-2.2342696541824969E-3</v>
      </c>
      <c r="V88" s="55">
        <f>IFERROR(Inv_SY!J90/Inv_SY!$Z90-1,"")</f>
        <v>0.3263011778236633</v>
      </c>
      <c r="W88" s="55">
        <f>IFERROR(Inv_SY!K90/Inv_SY!$Z90-1,"")</f>
        <v>0.30158078635441954</v>
      </c>
      <c r="X88" s="55">
        <f>IFERROR(Inv_SY!L90/Inv_SY!$Z90-1,"")</f>
        <v>-1</v>
      </c>
      <c r="Y88" s="55">
        <f>IFERROR(Inv_SY!M90/Inv_SY!$Z90-1,"")</f>
        <v>0.28223101573463172</v>
      </c>
      <c r="Z88" s="55">
        <f>IFERROR(Inv_SY!N90/Inv_SY!$Z90-1,"")</f>
        <v>0.30558257927033705</v>
      </c>
      <c r="AA88" s="55">
        <f>IFERROR(Inv_SY!O90/Inv_SY!$Z90-1,"")</f>
        <v>0.27306919160236331</v>
      </c>
      <c r="AB88" s="55">
        <f>IFERROR(Inv_SY!P90/Inv_SY!$Z90-1,"")</f>
        <v>0.2742029542769493</v>
      </c>
      <c r="AC88" s="55">
        <f>IFERROR(Inv_SY!Q90/Inv_SY!$Z90-1,"")</f>
        <v>-1</v>
      </c>
      <c r="AD88" s="55">
        <f>IFERROR(Inv_SY!R90/Inv_SY!$Z90-1,"")</f>
        <v>-9.1353732153132139E-4</v>
      </c>
      <c r="AE88" s="55">
        <f>IFERROR(Inv_SY!S90/Inv_SY!$Z90-1,"")</f>
        <v>4.1892400045874245E-2</v>
      </c>
      <c r="AF88" s="55">
        <f>IFERROR(Inv_SY!T90/Inv_SY!$Z90-1,"")</f>
        <v>-1.4743411047703492E-2</v>
      </c>
      <c r="AG88" s="55">
        <f>IFERROR(Inv_SY!U90/Inv_SY!$Z90-1,"")</f>
        <v>-2.1652395327252605E-2</v>
      </c>
      <c r="AH88" s="55">
        <f>IFERROR(Inv_SY!V90/Inv_SY!$Y90-1,"")</f>
        <v>-3.8222549448598819E-3</v>
      </c>
      <c r="AI88" s="55">
        <f>IFERROR(Inv_SY!W90/Inv_SY!$Y90-1,"")</f>
        <v>-1.6025624868333588E-2</v>
      </c>
      <c r="AJ88" s="55">
        <f>IFERROR(Inv_SY!X90/Inv_SY!$Y90-1,"")</f>
        <v>1.9847879813193137E-2</v>
      </c>
      <c r="AK88" s="55">
        <f>IFERROR(Inv_SY!V90/Inv_SY!$Z90-1,"")</f>
        <v>-2.3209475870449192E-2</v>
      </c>
      <c r="AL88" s="55">
        <f>IFERROR(Inv_SY!W90/Inv_SY!$Z90-1,"")</f>
        <v>-3.51753485903189E-2</v>
      </c>
      <c r="AM88" s="55">
        <f>IFERROR(Inv_SY!X90/Inv_SY!$Z90-1,"")</f>
        <v>0</v>
      </c>
    </row>
    <row r="89" spans="1:39" x14ac:dyDescent="0.3">
      <c r="A89" s="273">
        <f>YEAR(Table5[[#This Row],[Date]])+IF(MONTH(Table5[[#This Row],[Date]])&gt;=4,1,0)</f>
        <v>2026</v>
      </c>
      <c r="B89" s="273"/>
      <c r="C89" s="273">
        <f>YEAR(Table5[[#This Row],[Date]])</f>
        <v>2025</v>
      </c>
      <c r="D89" s="273"/>
      <c r="E89" s="273"/>
      <c r="F89" s="274" t="str">
        <f>TEXT(Table5[[#This Row],[Date]],"mmm-yy")</f>
        <v>Jun-25</v>
      </c>
      <c r="G89" s="273">
        <f t="shared" si="5"/>
        <v>30</v>
      </c>
      <c r="H89" s="275">
        <f t="shared" si="6"/>
        <v>45832</v>
      </c>
      <c r="I89" s="273">
        <v>8.02</v>
      </c>
      <c r="J89" s="55">
        <f>IFERROR(Inv_SY!J91/Inv_SY!$Y91-1,"")</f>
        <v>0.32390802793200746</v>
      </c>
      <c r="K89" s="55">
        <f>IFERROR(Inv_SY!K91/Inv_SY!$Y91-1,"")</f>
        <v>0.38595362631956953</v>
      </c>
      <c r="L89" s="55">
        <f>IFERROR(Inv_SY!L91/Inv_SY!$Y91-1,"")</f>
        <v>-1</v>
      </c>
      <c r="M89" s="55">
        <f>IFERROR(Inv_SY!M91/Inv_SY!$Y91-1,"")</f>
        <v>0.30628187351291758</v>
      </c>
      <c r="N89" s="55">
        <f>IFERROR(Inv_SY!N91/Inv_SY!$Y91-1,"")</f>
        <v>0.35462040098950864</v>
      </c>
      <c r="O89" s="55">
        <f>IFERROR(Inv_SY!O91/Inv_SY!$Y91-1,"")</f>
        <v>0.2815807937909427</v>
      </c>
      <c r="P89" s="55">
        <f>IFERROR(Inv_SY!P91/Inv_SY!$Y91-1,"")</f>
        <v>0.27964498361034851</v>
      </c>
      <c r="Q89" s="55">
        <f>IFERROR(Inv_SY!Q91/Inv_SY!$Y91-1,"")</f>
        <v>-1</v>
      </c>
      <c r="R89" s="55">
        <f>IFERROR(Inv_SY!R91/Inv_SY!$Y91-1,"")</f>
        <v>4.3601354676587878E-3</v>
      </c>
      <c r="S89" s="55">
        <f>IFERROR(Inv_SY!S91/Inv_SY!$Y91-1,"")</f>
        <v>2.4146613662844096E-2</v>
      </c>
      <c r="T89" s="55">
        <f>IFERROR(Inv_SY!T91/Inv_SY!$Y91-1,"")</f>
        <v>5.3296493932522671E-2</v>
      </c>
      <c r="U89" s="55">
        <f>IFERROR(Inv_SY!U91/Inv_SY!$Y91-1,"")</f>
        <v>-1.3566880023202166E-2</v>
      </c>
      <c r="V89" s="55">
        <f>IFERROR(Inv_SY!J91/Inv_SY!$Z91-1,"")</f>
        <v>0.30284627460812041</v>
      </c>
      <c r="W89" s="55">
        <f>IFERROR(Inv_SY!K91/Inv_SY!$Z91-1,"")</f>
        <v>0.36390480360679689</v>
      </c>
      <c r="X89" s="55">
        <f>IFERROR(Inv_SY!L91/Inv_SY!$Z91-1,"")</f>
        <v>-1</v>
      </c>
      <c r="Y89" s="55">
        <f>IFERROR(Inv_SY!M91/Inv_SY!$Z91-1,"")</f>
        <v>0.28550053069232173</v>
      </c>
      <c r="Z89" s="55">
        <f>IFERROR(Inv_SY!N91/Inv_SY!$Z91-1,"")</f>
        <v>0.33307005147035662</v>
      </c>
      <c r="AA89" s="55">
        <f>IFERROR(Inv_SY!O91/Inv_SY!$Z91-1,"")</f>
        <v>0.2611924148598026</v>
      </c>
      <c r="AB89" s="55">
        <f>IFERROR(Inv_SY!P91/Inv_SY!$Z91-1,"")</f>
        <v>0.25928740104545533</v>
      </c>
      <c r="AC89" s="55">
        <f>IFERROR(Inv_SY!Q91/Inv_SY!$Z91-1,"")</f>
        <v>-1</v>
      </c>
      <c r="AD89" s="55">
        <f>IFERROR(Inv_SY!R91/Inv_SY!$Z91-1,"")</f>
        <v>-1.1618002722656673E-2</v>
      </c>
      <c r="AE89" s="55">
        <f>IFERROR(Inv_SY!S91/Inv_SY!$Z91-1,"")</f>
        <v>7.8536968669886686E-3</v>
      </c>
      <c r="AF89" s="55">
        <f>IFERROR(Inv_SY!T91/Inv_SY!$Z91-1,"")</f>
        <v>3.6539838285699178E-2</v>
      </c>
      <c r="AG89" s="55">
        <f>IFERROR(Inv_SY!U91/Inv_SY!$Z91-1,"")</f>
        <v>-2.9259821379496009E-2</v>
      </c>
      <c r="AH89" s="55">
        <f>IFERROR(Inv_SY!V91/Inv_SY!$Y91-1,"")</f>
        <v>3.2351927651768086E-3</v>
      </c>
      <c r="AI89" s="55">
        <f>IFERROR(Inv_SY!W91/Inv_SY!$Y91-1,"")</f>
        <v>-1.9401147056462564E-2</v>
      </c>
      <c r="AJ89" s="55">
        <f>IFERROR(Inv_SY!X91/Inv_SY!$Y91-1,"")</f>
        <v>1.6165954291285978E-2</v>
      </c>
      <c r="AK89" s="55">
        <f>IFERROR(Inv_SY!V91/Inv_SY!$Z91-1,"")</f>
        <v>-1.2725048966167773E-2</v>
      </c>
      <c r="AL89" s="55">
        <f>IFERROR(Inv_SY!W91/Inv_SY!$Z91-1,"")</f>
        <v>-3.5001272378343384E-2</v>
      </c>
      <c r="AM89" s="55">
        <f>IFERROR(Inv_SY!X91/Inv_SY!$Z91-1,"")</f>
        <v>0</v>
      </c>
    </row>
    <row r="90" spans="1:39" x14ac:dyDescent="0.3">
      <c r="A90" s="273">
        <f>YEAR(Table5[[#This Row],[Date]])+IF(MONTH(Table5[[#This Row],[Date]])&gt;=4,1,0)</f>
        <v>2026</v>
      </c>
      <c r="B90" s="273"/>
      <c r="C90" s="273">
        <f>YEAR(Table5[[#This Row],[Date]])</f>
        <v>2025</v>
      </c>
      <c r="D90" s="273"/>
      <c r="E90" s="273"/>
      <c r="F90" s="274" t="str">
        <f>TEXT(Table5[[#This Row],[Date]],"mmm-yy")</f>
        <v>Jun-25</v>
      </c>
      <c r="G90" s="273">
        <f t="shared" si="5"/>
        <v>30</v>
      </c>
      <c r="H90" s="275">
        <f t="shared" si="6"/>
        <v>45833</v>
      </c>
      <c r="I90" s="273">
        <v>8.02</v>
      </c>
      <c r="J90" s="55">
        <f>IFERROR(Inv_SY!J92/Inv_SY!$Y92-1,"")</f>
        <v>0.32650414355007773</v>
      </c>
      <c r="K90" s="55">
        <f>IFERROR(Inv_SY!K92/Inv_SY!$Y92-1,"")</f>
        <v>0.32571516550654156</v>
      </c>
      <c r="L90" s="55">
        <f>IFERROR(Inv_SY!L92/Inv_SY!$Y92-1,"")</f>
        <v>-1</v>
      </c>
      <c r="M90" s="55">
        <f>IFERROR(Inv_SY!M92/Inv_SY!$Y92-1,"")</f>
        <v>0.36121623076896237</v>
      </c>
      <c r="N90" s="55">
        <f>IFERROR(Inv_SY!N92/Inv_SY!$Y92-1,"")</f>
        <v>0.29593714077562305</v>
      </c>
      <c r="O90" s="55">
        <f>IFERROR(Inv_SY!O92/Inv_SY!$Y92-1,"")</f>
        <v>0.3447594368737108</v>
      </c>
      <c r="P90" s="55">
        <f>IFERROR(Inv_SY!P92/Inv_SY!$Y92-1,"")</f>
        <v>0.28758782057334109</v>
      </c>
      <c r="Q90" s="55">
        <f>IFERROR(Inv_SY!Q92/Inv_SY!$Y92-1,"")</f>
        <v>-1</v>
      </c>
      <c r="R90" s="55">
        <f>IFERROR(Inv_SY!R92/Inv_SY!$Y92-1,"")</f>
        <v>4.1002865207901973E-3</v>
      </c>
      <c r="S90" s="55">
        <f>IFERROR(Inv_SY!S92/Inv_SY!$Y92-1,"")</f>
        <v>2.3898915064030302E-2</v>
      </c>
      <c r="T90" s="55">
        <f>IFERROR(Inv_SY!T92/Inv_SY!$Y92-1,"")</f>
        <v>-8.4909757504848526E-3</v>
      </c>
      <c r="U90" s="55">
        <f>IFERROR(Inv_SY!U92/Inv_SY!$Y92-1,"")</f>
        <v>3.81666595796879E-2</v>
      </c>
      <c r="V90" s="55">
        <f>IFERROR(Inv_SY!J92/Inv_SY!$Z92-1,"")</f>
        <v>0.30882977472917061</v>
      </c>
      <c r="W90" s="55">
        <f>IFERROR(Inv_SY!K92/Inv_SY!$Z92-1,"")</f>
        <v>0.3080513090455097</v>
      </c>
      <c r="X90" s="55">
        <f>IFERROR(Inv_SY!L92/Inv_SY!$Z92-1,"")</f>
        <v>-1</v>
      </c>
      <c r="Y90" s="55">
        <f>IFERROR(Inv_SY!M92/Inv_SY!$Z92-1,"")</f>
        <v>0.34307935737539097</v>
      </c>
      <c r="Z90" s="55">
        <f>IFERROR(Inv_SY!N92/Inv_SY!$Z92-1,"")</f>
        <v>0.27867004733595935</v>
      </c>
      <c r="AA90" s="55">
        <f>IFERROR(Inv_SY!O92/Inv_SY!$Z92-1,"")</f>
        <v>0.32684183414456114</v>
      </c>
      <c r="AB90" s="55">
        <f>IFERROR(Inv_SY!P92/Inv_SY!$Z92-1,"")</f>
        <v>0.27043197364985039</v>
      </c>
      <c r="AC90" s="55">
        <f>IFERROR(Inv_SY!Q92/Inv_SY!$Z92-1,"")</f>
        <v>-1</v>
      </c>
      <c r="AD90" s="55">
        <f>IFERROR(Inv_SY!R92/Inv_SY!$Z92-1,"")</f>
        <v>-9.2783665979643271E-3</v>
      </c>
      <c r="AE90" s="55">
        <f>IFERROR(Inv_SY!S92/Inv_SY!$Z92-1,"")</f>
        <v>1.0256464606441362E-2</v>
      </c>
      <c r="AF90" s="55">
        <f>IFERROR(Inv_SY!T92/Inv_SY!$Z92-1,"")</f>
        <v>-2.1701862628639601E-2</v>
      </c>
      <c r="AG90" s="55">
        <f>IFERROR(Inv_SY!U92/Inv_SY!$Z92-1,"")</f>
        <v>2.433410539717773E-2</v>
      </c>
      <c r="AH90" s="55">
        <f>IFERROR(Inv_SY!V92/Inv_SY!$Y92-1,"")</f>
        <v>2.7824436871946023E-3</v>
      </c>
      <c r="AI90" s="55">
        <f>IFERROR(Inv_SY!W92/Inv_SY!$Y92-1,"")</f>
        <v>-1.6286391383192211E-2</v>
      </c>
      <c r="AJ90" s="55">
        <f>IFERROR(Inv_SY!X92/Inv_SY!$Y92-1,"")</f>
        <v>1.350394769599772E-2</v>
      </c>
      <c r="AK90" s="55">
        <f>IFERROR(Inv_SY!V92/Inv_SY!$Z92-1,"")</f>
        <v>-1.0578650466213202E-2</v>
      </c>
      <c r="AL90" s="55">
        <f>IFERROR(Inv_SY!W92/Inv_SY!$Z92-1,"")</f>
        <v>-2.9393411981188944E-2</v>
      </c>
      <c r="AM90" s="55">
        <f>IFERROR(Inv_SY!X92/Inv_SY!$Z92-1,"")</f>
        <v>0</v>
      </c>
    </row>
    <row r="91" spans="1:39" x14ac:dyDescent="0.3">
      <c r="A91" s="273">
        <f>YEAR(Table5[[#This Row],[Date]])+IF(MONTH(Table5[[#This Row],[Date]])&gt;=4,1,0)</f>
        <v>2026</v>
      </c>
      <c r="B91" s="273"/>
      <c r="C91" s="273">
        <f>YEAR(Table5[[#This Row],[Date]])</f>
        <v>2025</v>
      </c>
      <c r="D91" s="273"/>
      <c r="E91" s="273"/>
      <c r="F91" s="274" t="str">
        <f>TEXT(Table5[[#This Row],[Date]],"mmm-yy")</f>
        <v>Jun-25</v>
      </c>
      <c r="G91" s="273">
        <f t="shared" si="5"/>
        <v>30</v>
      </c>
      <c r="H91" s="275">
        <f t="shared" si="6"/>
        <v>45834</v>
      </c>
      <c r="I91" s="273">
        <v>8.02</v>
      </c>
      <c r="J91" s="55">
        <f>IFERROR(Inv_SY!J93/Inv_SY!$Y93-1,"")</f>
        <v>0.33152298413124281</v>
      </c>
      <c r="K91" s="55">
        <f>IFERROR(Inv_SY!K93/Inv_SY!$Y93-1,"")</f>
        <v>0.33127851547480924</v>
      </c>
      <c r="L91" s="55">
        <f>IFERROR(Inv_SY!L93/Inv_SY!$Y93-1,"")</f>
        <v>-1</v>
      </c>
      <c r="M91" s="55">
        <f>IFERROR(Inv_SY!M93/Inv_SY!$Y93-1,"")</f>
        <v>0.34796757575400972</v>
      </c>
      <c r="N91" s="55">
        <f>IFERROR(Inv_SY!N93/Inv_SY!$Y93-1,"")</f>
        <v>0.30678676378305503</v>
      </c>
      <c r="O91" s="55">
        <f>IFERROR(Inv_SY!O93/Inv_SY!$Y93-1,"")</f>
        <v>0.29923308306754604</v>
      </c>
      <c r="P91" s="55">
        <f>IFERROR(Inv_SY!P93/Inv_SY!$Y93-1,"")</f>
        <v>0.33556032387700041</v>
      </c>
      <c r="Q91" s="55">
        <f>IFERROR(Inv_SY!Q93/Inv_SY!$Y93-1,"")</f>
        <v>-1</v>
      </c>
      <c r="R91" s="55">
        <f>IFERROR(Inv_SY!R93/Inv_SY!$Y93-1,"")</f>
        <v>4.2084200435755115E-2</v>
      </c>
      <c r="S91" s="55">
        <f>IFERROR(Inv_SY!S93/Inv_SY!$Y93-1,"")</f>
        <v>2.5366222146765871E-2</v>
      </c>
      <c r="T91" s="55">
        <f>IFERROR(Inv_SY!T93/Inv_SY!$Y93-1,"")</f>
        <v>-7.0482972542129652E-3</v>
      </c>
      <c r="U91" s="55">
        <f>IFERROR(Inv_SY!U93/Inv_SY!$Y93-1,"")</f>
        <v>-1.2584755233159162E-2</v>
      </c>
      <c r="V91" s="55">
        <f>IFERROR(Inv_SY!J93/Inv_SY!$Z93-1,"")</f>
        <v>0.31717870451224295</v>
      </c>
      <c r="W91" s="55">
        <f>IFERROR(Inv_SY!K93/Inv_SY!$Z93-1,"")</f>
        <v>0.31693686947671385</v>
      </c>
      <c r="X91" s="55">
        <f>IFERROR(Inv_SY!L93/Inv_SY!$Z93-1,"")</f>
        <v>-1</v>
      </c>
      <c r="Y91" s="55">
        <f>IFERROR(Inv_SY!M93/Inv_SY!$Z93-1,"")</f>
        <v>0.33344614123549365</v>
      </c>
      <c r="Z91" s="55">
        <f>IFERROR(Inv_SY!N93/Inv_SY!$Z93-1,"")</f>
        <v>0.29270896342548758</v>
      </c>
      <c r="AA91" s="55">
        <f>IFERROR(Inv_SY!O93/Inv_SY!$Z93-1,"")</f>
        <v>0.28523665727851943</v>
      </c>
      <c r="AB91" s="55">
        <f>IFERROR(Inv_SY!P93/Inv_SY!$Z93-1,"")</f>
        <v>0.32117255065637274</v>
      </c>
      <c r="AC91" s="55">
        <f>IFERROR(Inv_SY!Q93/Inv_SY!$Z93-1,"")</f>
        <v>-1</v>
      </c>
      <c r="AD91" s="55">
        <f>IFERROR(Inv_SY!R93/Inv_SY!$Z93-1,"")</f>
        <v>3.08579975569927E-2</v>
      </c>
      <c r="AE91" s="55">
        <f>IFERROR(Inv_SY!S93/Inv_SY!$Z93-1,"")</f>
        <v>1.4320119317420277E-2</v>
      </c>
      <c r="AF91" s="55">
        <f>IFERROR(Inv_SY!T93/Inv_SY!$Z93-1,"")</f>
        <v>-1.7745203760592632E-2</v>
      </c>
      <c r="AG91" s="55">
        <f>IFERROR(Inv_SY!U93/Inv_SY!$Z93-1,"")</f>
        <v>-2.3222018382048737E-2</v>
      </c>
      <c r="AH91" s="55">
        <f>IFERROR(Inv_SY!V93/Inv_SY!$Y93-1,"")</f>
        <v>2.0667344612337324E-3</v>
      </c>
      <c r="AI91" s="55">
        <f>IFERROR(Inv_SY!W93/Inv_SY!$Y93-1,"")</f>
        <v>-1.2956888978506997E-2</v>
      </c>
      <c r="AJ91" s="55">
        <f>IFERROR(Inv_SY!X93/Inv_SY!$Y93-1,"")</f>
        <v>1.0890154517273043E-2</v>
      </c>
      <c r="AK91" s="55">
        <f>IFERROR(Inv_SY!V93/Inv_SY!$Z93-1,"")</f>
        <v>-8.72836679298028E-3</v>
      </c>
      <c r="AL91" s="55">
        <f>IFERROR(Inv_SY!W93/Inv_SY!$Z93-1,"")</f>
        <v>-2.3590143191341784E-2</v>
      </c>
      <c r="AM91" s="55">
        <f>IFERROR(Inv_SY!X93/Inv_SY!$Z93-1,"")</f>
        <v>0</v>
      </c>
    </row>
    <row r="92" spans="1:39" x14ac:dyDescent="0.3">
      <c r="A92" s="273">
        <f>YEAR(Table5[[#This Row],[Date]])+IF(MONTH(Table5[[#This Row],[Date]])&gt;=4,1,0)</f>
        <v>2026</v>
      </c>
      <c r="B92" s="273"/>
      <c r="C92" s="273">
        <f>YEAR(Table5[[#This Row],[Date]])</f>
        <v>2025</v>
      </c>
      <c r="D92" s="273"/>
      <c r="E92" s="273"/>
      <c r="F92" s="274" t="str">
        <f>TEXT(Table5[[#This Row],[Date]],"mmm-yy")</f>
        <v>Jun-25</v>
      </c>
      <c r="G92" s="273">
        <f t="shared" si="5"/>
        <v>30</v>
      </c>
      <c r="H92" s="275">
        <f t="shared" si="6"/>
        <v>45835</v>
      </c>
      <c r="I92" s="273">
        <v>8.02</v>
      </c>
      <c r="J92" s="55">
        <f>IFERROR(Inv_SY!J94/Inv_SY!$Y94-1,"")</f>
        <v>0.35012494187397958</v>
      </c>
      <c r="K92" s="55">
        <f>IFERROR(Inv_SY!K94/Inv_SY!$Y94-1,"")</f>
        <v>0.3330777448429163</v>
      </c>
      <c r="L92" s="55">
        <f>IFERROR(Inv_SY!L94/Inv_SY!$Y94-1,"")</f>
        <v>-1</v>
      </c>
      <c r="M92" s="55">
        <f>IFERROR(Inv_SY!M94/Inv_SY!$Y94-1,"")</f>
        <v>0.31297837071160095</v>
      </c>
      <c r="N92" s="55">
        <f>IFERROR(Inv_SY!N94/Inv_SY!$Y94-1,"")</f>
        <v>0.32807847576823312</v>
      </c>
      <c r="O92" s="55">
        <f>IFERROR(Inv_SY!O94/Inv_SY!$Y94-1,"")</f>
        <v>0.30188932984883254</v>
      </c>
      <c r="P92" s="55">
        <f>IFERROR(Inv_SY!P94/Inv_SY!$Y94-1,"")</f>
        <v>0.30338300737275281</v>
      </c>
      <c r="Q92" s="55">
        <f>IFERROR(Inv_SY!Q94/Inv_SY!$Y94-1,"")</f>
        <v>-1</v>
      </c>
      <c r="R92" s="55">
        <f>IFERROR(Inv_SY!R94/Inv_SY!$Y94-1,"")</f>
        <v>1.7134091695967912E-2</v>
      </c>
      <c r="S92" s="55">
        <f>IFERROR(Inv_SY!S94/Inv_SY!$Y94-1,"")</f>
        <v>5.3890724944812396E-2</v>
      </c>
      <c r="T92" s="55">
        <f>IFERROR(Inv_SY!T94/Inv_SY!$Y94-1,"")</f>
        <v>3.8493458430064464E-3</v>
      </c>
      <c r="U92" s="55">
        <f>IFERROR(Inv_SY!U94/Inv_SY!$Y94-1,"")</f>
        <v>-3.4822465348591791E-3</v>
      </c>
      <c r="V92" s="55">
        <f>IFERROR(Inv_SY!J94/Inv_SY!$Z94-1,"")</f>
        <v>0.32792698148604815</v>
      </c>
      <c r="W92" s="55">
        <f>IFERROR(Inv_SY!K94/Inv_SY!$Z94-1,"")</f>
        <v>0.31116006444440236</v>
      </c>
      <c r="X92" s="55">
        <f>IFERROR(Inv_SY!L94/Inv_SY!$Z94-1,"")</f>
        <v>-1</v>
      </c>
      <c r="Y92" s="55">
        <f>IFERROR(Inv_SY!M94/Inv_SY!$Z94-1,"")</f>
        <v>0.29139115240363234</v>
      </c>
      <c r="Z92" s="55">
        <f>IFERROR(Inv_SY!N94/Inv_SY!$Z94-1,"")</f>
        <v>0.30624299041215308</v>
      </c>
      <c r="AA92" s="55">
        <f>IFERROR(Inv_SY!O94/Inv_SY!$Z94-1,"")</f>
        <v>0.28048443103010334</v>
      </c>
      <c r="AB92" s="55">
        <f>IFERROR(Inv_SY!P94/Inv_SY!$Z94-1,"")</f>
        <v>0.28195355038649406</v>
      </c>
      <c r="AC92" s="55">
        <f>IFERROR(Inv_SY!Q94/Inv_SY!$Z94-1,"")</f>
        <v>-1</v>
      </c>
      <c r="AD92" s="55">
        <f>IFERROR(Inv_SY!R94/Inv_SY!$Z94-1,"")</f>
        <v>4.1097105993026517E-4</v>
      </c>
      <c r="AE92" s="55">
        <f>IFERROR(Inv_SY!S94/Inv_SY!$Z94-1,"")</f>
        <v>3.6563273358693138E-2</v>
      </c>
      <c r="AF92" s="55">
        <f>IFERROR(Inv_SY!T94/Inv_SY!$Z94-1,"")</f>
        <v>-1.2655354813471131E-2</v>
      </c>
      <c r="AG92" s="55">
        <f>IFERROR(Inv_SY!U94/Inv_SY!$Z94-1,"")</f>
        <v>-1.9866405460614689E-2</v>
      </c>
      <c r="AH92" s="55">
        <f>IFERROR(Inv_SY!V94/Inv_SY!$Y94-1,"")</f>
        <v>-1.6985814377618036E-3</v>
      </c>
      <c r="AI92" s="55">
        <f>IFERROR(Inv_SY!W94/Inv_SY!$Y94-1,"")</f>
        <v>-1.5017669302990644E-2</v>
      </c>
      <c r="AJ92" s="55">
        <f>IFERROR(Inv_SY!X94/Inv_SY!$Y94-1,"")</f>
        <v>1.6716250740752558E-2</v>
      </c>
      <c r="AK92" s="55">
        <f>IFERROR(Inv_SY!V94/Inv_SY!$Z94-1,"")</f>
        <v>-1.8112066336205213E-2</v>
      </c>
      <c r="AL92" s="55">
        <f>IFERROR(Inv_SY!W94/Inv_SY!$Z94-1,"")</f>
        <v>-3.1212169590702277E-2</v>
      </c>
      <c r="AM92" s="55">
        <f>IFERROR(Inv_SY!X94/Inv_SY!$Z94-1,"")</f>
        <v>0</v>
      </c>
    </row>
    <row r="93" spans="1:39" x14ac:dyDescent="0.3">
      <c r="A93" s="273">
        <f>YEAR(Table5[[#This Row],[Date]])+IF(MONTH(Table5[[#This Row],[Date]])&gt;=4,1,0)</f>
        <v>2026</v>
      </c>
      <c r="B93" s="273"/>
      <c r="C93" s="273">
        <f>YEAR(Table5[[#This Row],[Date]])</f>
        <v>2025</v>
      </c>
      <c r="D93" s="273"/>
      <c r="E93" s="273"/>
      <c r="F93" s="274" t="str">
        <f>TEXT(Table5[[#This Row],[Date]],"mmm-yy")</f>
        <v>Jun-25</v>
      </c>
      <c r="G93" s="273">
        <f t="shared" si="5"/>
        <v>30</v>
      </c>
      <c r="H93" s="275">
        <f t="shared" si="6"/>
        <v>45836</v>
      </c>
      <c r="I93" s="273">
        <v>8.02</v>
      </c>
      <c r="J93" s="55">
        <f>IFERROR(Inv_SY!J95/Inv_SY!$Y95-1,"")</f>
        <v>0.32809012703280138</v>
      </c>
      <c r="K93" s="55">
        <f>IFERROR(Inv_SY!K95/Inv_SY!$Y95-1,"")</f>
        <v>0.35443415229793218</v>
      </c>
      <c r="L93" s="55">
        <f>IFERROR(Inv_SY!L95/Inv_SY!$Y95-1,"")</f>
        <v>-1</v>
      </c>
      <c r="M93" s="55">
        <f>IFERROR(Inv_SY!M95/Inv_SY!$Y95-1,"")</f>
        <v>0.30759698433131644</v>
      </c>
      <c r="N93" s="55">
        <f>IFERROR(Inv_SY!N95/Inv_SY!$Y95-1,"")</f>
        <v>0.34147231604179895</v>
      </c>
      <c r="O93" s="55">
        <f>IFERROR(Inv_SY!O95/Inv_SY!$Y95-1,"")</f>
        <v>0.30241521121812021</v>
      </c>
      <c r="P93" s="55">
        <f>IFERROR(Inv_SY!P95/Inv_SY!$Y95-1,"")</f>
        <v>0.30380755773377244</v>
      </c>
      <c r="Q93" s="55">
        <f>IFERROR(Inv_SY!Q95/Inv_SY!$Y95-1,"")</f>
        <v>-1</v>
      </c>
      <c r="R93" s="55">
        <f>IFERROR(Inv_SY!R95/Inv_SY!$Y95-1,"")</f>
        <v>1.2069119988429744E-2</v>
      </c>
      <c r="S93" s="55">
        <f>IFERROR(Inv_SY!S95/Inv_SY!$Y95-1,"")</f>
        <v>3.1958425689024406E-2</v>
      </c>
      <c r="T93" s="55">
        <f>IFERROR(Inv_SY!T95/Inv_SY!$Y95-1,"")</f>
        <v>2.6101039218339617E-2</v>
      </c>
      <c r="U93" s="55">
        <f>IFERROR(Inv_SY!U95/Inv_SY!$Y95-1,"")</f>
        <v>-7.5858426813050217E-3</v>
      </c>
      <c r="V93" s="55">
        <f>IFERROR(Inv_SY!J95/Inv_SY!$Z95-1,"")</f>
        <v>0.30891247254127174</v>
      </c>
      <c r="W93" s="55">
        <f>IFERROR(Inv_SY!K95/Inv_SY!$Z95-1,"")</f>
        <v>0.33487608942585134</v>
      </c>
      <c r="X93" s="55">
        <f>IFERROR(Inv_SY!L95/Inv_SY!$Z95-1,"")</f>
        <v>-1</v>
      </c>
      <c r="Y93" s="55">
        <f>IFERROR(Inv_SY!M95/Inv_SY!$Z95-1,"")</f>
        <v>0.28871525133048648</v>
      </c>
      <c r="Z93" s="55">
        <f>IFERROR(Inv_SY!N95/Inv_SY!$Z95-1,"")</f>
        <v>0.32210142240788664</v>
      </c>
      <c r="AA93" s="55">
        <f>IFERROR(Inv_SY!O95/Inv_SY!$Z95-1,"")</f>
        <v>0.28360830315002294</v>
      </c>
      <c r="AB93" s="55">
        <f>IFERROR(Inv_SY!P95/Inv_SY!$Z95-1,"")</f>
        <v>0.28498054414733276</v>
      </c>
      <c r="AC93" s="55">
        <f>IFERROR(Inv_SY!Q95/Inv_SY!$Z95-1,"")</f>
        <v>-1</v>
      </c>
      <c r="AD93" s="55">
        <f>IFERROR(Inv_SY!R95/Inv_SY!$Z95-1,"")</f>
        <v>-2.5451832953751197E-3</v>
      </c>
      <c r="AE93" s="55">
        <f>IFERROR(Inv_SY!S95/Inv_SY!$Z95-1,"")</f>
        <v>1.7056920335843051E-2</v>
      </c>
      <c r="AF93" s="55">
        <f>IFERROR(Inv_SY!T95/Inv_SY!$Z95-1,"")</f>
        <v>1.1284114671589629E-2</v>
      </c>
      <c r="AG93" s="55">
        <f>IFERROR(Inv_SY!U95/Inv_SY!$Z95-1,"")</f>
        <v>-2.1916327814932024E-2</v>
      </c>
      <c r="AH93" s="55">
        <f>IFERROR(Inv_SY!V95/Inv_SY!$Y95-1,"")</f>
        <v>-3.2259906557977613E-3</v>
      </c>
      <c r="AI93" s="55">
        <f>IFERROR(Inv_SY!W95/Inv_SY!$Y95-1,"")</f>
        <v>-1.1425603621011193E-2</v>
      </c>
      <c r="AJ93" s="55">
        <f>IFERROR(Inv_SY!X95/Inv_SY!$Y95-1,"")</f>
        <v>1.4651594276808844E-2</v>
      </c>
      <c r="AK93" s="55">
        <f>IFERROR(Inv_SY!V95/Inv_SY!$Z95-1,"")</f>
        <v>-1.7619432161193105E-2</v>
      </c>
      <c r="AL93" s="55">
        <f>IFERROR(Inv_SY!W95/Inv_SY!$Z95-1,"")</f>
        <v>-2.5700642511094163E-2</v>
      </c>
      <c r="AM93" s="55">
        <f>IFERROR(Inv_SY!X95/Inv_SY!$Z95-1,"")</f>
        <v>0</v>
      </c>
    </row>
    <row r="94" spans="1:39" x14ac:dyDescent="0.3">
      <c r="A94" s="273">
        <f>YEAR(Table5[[#This Row],[Date]])+IF(MONTH(Table5[[#This Row],[Date]])&gt;=4,1,0)</f>
        <v>2026</v>
      </c>
      <c r="B94" s="273"/>
      <c r="C94" s="273">
        <f>YEAR(Table5[[#This Row],[Date]])</f>
        <v>2025</v>
      </c>
      <c r="D94" s="273"/>
      <c r="E94" s="273"/>
      <c r="F94" s="274" t="str">
        <f>TEXT(Table5[[#This Row],[Date]],"mmm-yy")</f>
        <v>Jun-25</v>
      </c>
      <c r="G94" s="273">
        <f t="shared" si="5"/>
        <v>30</v>
      </c>
      <c r="H94" s="275">
        <f t="shared" si="6"/>
        <v>45837</v>
      </c>
      <c r="I94" s="273">
        <v>8.02</v>
      </c>
      <c r="J94" s="55">
        <f>IFERROR(Inv_SY!J96/Inv_SY!$Y96-1,"")</f>
        <v>0.32412750168077675</v>
      </c>
      <c r="K94" s="55">
        <f>IFERROR(Inv_SY!K96/Inv_SY!$Y96-1,"")</f>
        <v>0.32437389682437212</v>
      </c>
      <c r="L94" s="55">
        <f>IFERROR(Inv_SY!L96/Inv_SY!$Y96-1,"")</f>
        <v>-1</v>
      </c>
      <c r="M94" s="55">
        <f>IFERROR(Inv_SY!M96/Inv_SY!$Y96-1,"")</f>
        <v>0.33710587699040251</v>
      </c>
      <c r="N94" s="55">
        <f>IFERROR(Inv_SY!N96/Inv_SY!$Y96-1,"")</f>
        <v>0.29870275427346815</v>
      </c>
      <c r="O94" s="55">
        <f>IFERROR(Inv_SY!O96/Inv_SY!$Y96-1,"")</f>
        <v>0.32274445746492431</v>
      </c>
      <c r="P94" s="55">
        <f>IFERROR(Inv_SY!P96/Inv_SY!$Y96-1,"")</f>
        <v>0.29048850568305395</v>
      </c>
      <c r="Q94" s="55">
        <f>IFERROR(Inv_SY!Q96/Inv_SY!$Y96-1,"")</f>
        <v>-1</v>
      </c>
      <c r="R94" s="55">
        <f>IFERROR(Inv_SY!R96/Inv_SY!$Y96-1,"")</f>
        <v>2.1118518307319478E-2</v>
      </c>
      <c r="S94" s="55">
        <f>IFERROR(Inv_SY!S96/Inv_SY!$Y96-1,"")</f>
        <v>4.0980718382017223E-2</v>
      </c>
      <c r="T94" s="55">
        <f>IFERROR(Inv_SY!T96/Inv_SY!$Y96-1,"")</f>
        <v>8.2974500868810974E-3</v>
      </c>
      <c r="U94" s="55">
        <f>IFERROR(Inv_SY!U96/Inv_SY!$Y96-1,"")</f>
        <v>3.1976427740509461E-2</v>
      </c>
      <c r="V94" s="55">
        <f>IFERROR(Inv_SY!J96/Inv_SY!$Z96-1,"")</f>
        <v>0.29232363871204092</v>
      </c>
      <c r="W94" s="55">
        <f>IFERROR(Inv_SY!K96/Inv_SY!$Z96-1,"")</f>
        <v>0.29256411575683305</v>
      </c>
      <c r="X94" s="55">
        <f>IFERROR(Inv_SY!L96/Inv_SY!$Z96-1,"")</f>
        <v>-1</v>
      </c>
      <c r="Y94" s="55">
        <f>IFERROR(Inv_SY!M96/Inv_SY!$Z96-1,"")</f>
        <v>0.30499028990946431</v>
      </c>
      <c r="Z94" s="55">
        <f>IFERROR(Inv_SY!N96/Inv_SY!$Z96-1,"")</f>
        <v>0.26750956148681859</v>
      </c>
      <c r="AA94" s="55">
        <f>IFERROR(Inv_SY!O96/Inv_SY!$Z96-1,"")</f>
        <v>0.29097381346389728</v>
      </c>
      <c r="AB94" s="55">
        <f>IFERROR(Inv_SY!P96/Inv_SY!$Z96-1,"")</f>
        <v>0.25949260872798341</v>
      </c>
      <c r="AC94" s="55">
        <f>IFERROR(Inv_SY!Q96/Inv_SY!$Z96-1,"")</f>
        <v>-1</v>
      </c>
      <c r="AD94" s="55">
        <f>IFERROR(Inv_SY!R96/Inv_SY!$Z96-1,"")</f>
        <v>-3.4074532398781221E-3</v>
      </c>
      <c r="AE94" s="55">
        <f>IFERROR(Inv_SY!S96/Inv_SY!$Z96-1,"")</f>
        <v>1.597768198371452E-2</v>
      </c>
      <c r="AF94" s="55">
        <f>IFERROR(Inv_SY!T96/Inv_SY!$Z96-1,"")</f>
        <v>-1.5920575664856385E-2</v>
      </c>
      <c r="AG94" s="55">
        <f>IFERROR(Inv_SY!U96/Inv_SY!$Z96-1,"")</f>
        <v>7.1896629817052027E-3</v>
      </c>
      <c r="AH94" s="55">
        <f>IFERROR(Inv_SY!V96/Inv_SY!$Y96-1,"")</f>
        <v>-4.2294310312039896E-3</v>
      </c>
      <c r="AI94" s="55">
        <f>IFERROR(Inv_SY!W96/Inv_SY!$Y96-1,"")</f>
        <v>-2.0380397355462709E-2</v>
      </c>
      <c r="AJ94" s="55">
        <f>IFERROR(Inv_SY!X96/Inv_SY!$Y96-1,"")</f>
        <v>2.4609828386666477E-2</v>
      </c>
      <c r="AK94" s="55">
        <f>IFERROR(Inv_SY!V96/Inv_SY!$Z96-1,"")</f>
        <v>-2.8146576988511196E-2</v>
      </c>
      <c r="AL94" s="55">
        <f>IFERROR(Inv_SY!W96/Inv_SY!$Z96-1,"")</f>
        <v>-4.3909617588746119E-2</v>
      </c>
      <c r="AM94" s="55">
        <f>IFERROR(Inv_SY!X96/Inv_SY!$Z96-1,"")</f>
        <v>0</v>
      </c>
    </row>
    <row r="95" spans="1:39" x14ac:dyDescent="0.3">
      <c r="A95" s="273">
        <f>YEAR(Table5[[#This Row],[Date]])+IF(MONTH(Table5[[#This Row],[Date]])&gt;=4,1,0)</f>
        <v>2026</v>
      </c>
      <c r="B95" s="273"/>
      <c r="C95" s="273">
        <f>YEAR(Table5[[#This Row],[Date]])</f>
        <v>2025</v>
      </c>
      <c r="D95" s="273"/>
      <c r="E95" s="273"/>
      <c r="F95" s="274" t="str">
        <f>TEXT(Table5[[#This Row],[Date]],"mmm-yy")</f>
        <v>Jun-25</v>
      </c>
      <c r="G95" s="273">
        <f t="shared" si="5"/>
        <v>30</v>
      </c>
      <c r="H95" s="275">
        <f t="shared" si="6"/>
        <v>45838</v>
      </c>
      <c r="I95" s="273">
        <v>8.02</v>
      </c>
      <c r="J95" s="55">
        <f>IFERROR(Inv_SY!J97/Inv_SY!$Y97-1,"")</f>
        <v>0.33261365504792928</v>
      </c>
      <c r="K95" s="55">
        <f>IFERROR(Inv_SY!K97/Inv_SY!$Y97-1,"")</f>
        <v>0.33165647045930724</v>
      </c>
      <c r="L95" s="55">
        <f>IFERROR(Inv_SY!L97/Inv_SY!$Y97-1,"")</f>
        <v>-1</v>
      </c>
      <c r="M95" s="55">
        <f>IFERROR(Inv_SY!M97/Inv_SY!$Y97-1,"")</f>
        <v>0.36039226599285334</v>
      </c>
      <c r="N95" s="55">
        <f>IFERROR(Inv_SY!N97/Inv_SY!$Y97-1,"")</f>
        <v>0.29781676976611804</v>
      </c>
      <c r="O95" s="55">
        <f>IFERROR(Inv_SY!O97/Inv_SY!$Y97-1,"")</f>
        <v>0.28965541993125732</v>
      </c>
      <c r="P95" s="55">
        <f>IFERROR(Inv_SY!P97/Inv_SY!$Y97-1,"")</f>
        <v>0.34224478012542825</v>
      </c>
      <c r="Q95" s="55">
        <f>IFERROR(Inv_SY!Q97/Inv_SY!$Y97-1,"")</f>
        <v>-1</v>
      </c>
      <c r="R95" s="55">
        <f>IFERROR(Inv_SY!R97/Inv_SY!$Y97-1,"")</f>
        <v>5.0630631767173639E-2</v>
      </c>
      <c r="S95" s="55">
        <f>IFERROR(Inv_SY!S97/Inv_SY!$Y97-1,"")</f>
        <v>2.1719429076964891E-2</v>
      </c>
      <c r="T95" s="55">
        <f>IFERROR(Inv_SY!T97/Inv_SY!$Y97-1,"")</f>
        <v>-1.0595095139344979E-2</v>
      </c>
      <c r="U95" s="55">
        <f>IFERROR(Inv_SY!U97/Inv_SY!$Y97-1,"")</f>
        <v>-1.6040592075495796E-2</v>
      </c>
      <c r="V95" s="55">
        <f>IFERROR(Inv_SY!J97/Inv_SY!$Z97-1,"")</f>
        <v>0.31895107692069802</v>
      </c>
      <c r="W95" s="55">
        <f>IFERROR(Inv_SY!K97/Inv_SY!$Z97-1,"")</f>
        <v>0.31800370583591864</v>
      </c>
      <c r="X95" s="55">
        <f>IFERROR(Inv_SY!L97/Inv_SY!$Z97-1,"")</f>
        <v>-1</v>
      </c>
      <c r="Y95" s="55">
        <f>IFERROR(Inv_SY!M97/Inv_SY!$Z97-1,"")</f>
        <v>0.34644488856099009</v>
      </c>
      <c r="Z95" s="55">
        <f>IFERROR(Inv_SY!N97/Inv_SY!$Z97-1,"")</f>
        <v>0.28451094557274192</v>
      </c>
      <c r="AA95" s="55">
        <f>IFERROR(Inv_SY!O97/Inv_SY!$Z97-1,"")</f>
        <v>0.27643326971144422</v>
      </c>
      <c r="AB95" s="55">
        <f>IFERROR(Inv_SY!P97/Inv_SY!$Z97-1,"")</f>
        <v>0.328483459201794</v>
      </c>
      <c r="AC95" s="55">
        <f>IFERROR(Inv_SY!Q97/Inv_SY!$Z97-1,"")</f>
        <v>-1</v>
      </c>
      <c r="AD95" s="55">
        <f>IFERROR(Inv_SY!R97/Inv_SY!$Z97-1,"")</f>
        <v>3.985907540872935E-2</v>
      </c>
      <c r="AE95" s="55">
        <f>IFERROR(Inv_SY!S97/Inv_SY!$Z97-1,"")</f>
        <v>1.1244283883160122E-2</v>
      </c>
      <c r="AF95" s="55">
        <f>IFERROR(Inv_SY!T97/Inv_SY!$Z97-1,"")</f>
        <v>-2.0738936725328339E-2</v>
      </c>
      <c r="AG95" s="55">
        <f>IFERROR(Inv_SY!U97/Inv_SY!$Z97-1,"")</f>
        <v>-2.6128603881369949E-2</v>
      </c>
      <c r="AH95" s="55">
        <f>IFERROR(Inv_SY!V97/Inv_SY!$Y97-1,"")</f>
        <v>5.5689801162261965E-3</v>
      </c>
      <c r="AI95" s="55">
        <f>IFERROR(Inv_SY!W97/Inv_SY!$Y97-1,"")</f>
        <v>-1.5927649490929618E-2</v>
      </c>
      <c r="AJ95" s="55">
        <f>IFERROR(Inv_SY!X97/Inv_SY!$Y97-1,"")</f>
        <v>1.0358669374703977E-2</v>
      </c>
      <c r="AK95" s="55">
        <f>IFERROR(Inv_SY!V97/Inv_SY!$Z97-1,"")</f>
        <v>-4.740583125240061E-3</v>
      </c>
      <c r="AL95" s="55">
        <f>IFERROR(Inv_SY!W97/Inv_SY!$Z97-1,"")</f>
        <v>-2.6016819236976296E-2</v>
      </c>
      <c r="AM95" s="55">
        <f>IFERROR(Inv_SY!X97/Inv_SY!$Z97-1,"")</f>
        <v>0</v>
      </c>
    </row>
    <row r="96" spans="1:39" x14ac:dyDescent="0.3">
      <c r="A96" s="273">
        <f>YEAR(Table5[[#This Row],[Date]])+IF(MONTH(Table5[[#This Row],[Date]])&gt;=4,1,0)</f>
        <v>2026</v>
      </c>
      <c r="B96" s="273"/>
      <c r="C96" s="273">
        <f>YEAR(Table5[[#This Row],[Date]])</f>
        <v>2025</v>
      </c>
      <c r="D96" s="273"/>
      <c r="E96" s="273"/>
      <c r="F96" s="274" t="str">
        <f>TEXT(Table5[[#This Row],[Date]],"mmm-yy")</f>
        <v>Jul-25</v>
      </c>
      <c r="G96" s="273">
        <f t="shared" si="5"/>
        <v>31</v>
      </c>
      <c r="H96" s="275">
        <f t="shared" si="6"/>
        <v>45839</v>
      </c>
      <c r="I96" s="273">
        <v>8.02</v>
      </c>
      <c r="J96" s="55">
        <f>IFERROR(Inv_SY!J98/Inv_SY!$Y98-1,"")</f>
        <v>0.42216852046524189</v>
      </c>
      <c r="K96" s="55">
        <f>IFERROR(Inv_SY!K98/Inv_SY!$Y98-1,"")</f>
        <v>0.31314976760381064</v>
      </c>
      <c r="L96" s="55">
        <f>IFERROR(Inv_SY!L98/Inv_SY!$Y98-1,"")</f>
        <v>-1</v>
      </c>
      <c r="M96" s="55">
        <f>IFERROR(Inv_SY!M98/Inv_SY!$Y98-1,"")</f>
        <v>0.29243890304412057</v>
      </c>
      <c r="N96" s="55">
        <f>IFERROR(Inv_SY!N98/Inv_SY!$Y98-1,"")</f>
        <v>0.3979651098341308</v>
      </c>
      <c r="O96" s="55">
        <f>IFERROR(Inv_SY!O98/Inv_SY!$Y98-1,"")</f>
        <v>0.27666825485588009</v>
      </c>
      <c r="P96" s="55">
        <f>IFERROR(Inv_SY!P98/Inv_SY!$Y98-1,"")</f>
        <v>0.27399410146743919</v>
      </c>
      <c r="Q96" s="55">
        <f>IFERROR(Inv_SY!Q98/Inv_SY!$Y98-1,"")</f>
        <v>-1</v>
      </c>
      <c r="R96" s="55">
        <f>IFERROR(Inv_SY!R98/Inv_SY!$Y98-1,"")</f>
        <v>-2.0103242741395411E-2</v>
      </c>
      <c r="S96" s="55">
        <f>IFERROR(Inv_SY!S98/Inv_SY!$Y98-1,"")</f>
        <v>0.11408314044371681</v>
      </c>
      <c r="T96" s="55">
        <f>IFERROR(Inv_SY!T98/Inv_SY!$Y98-1,"")</f>
        <v>-3.2632062732553591E-2</v>
      </c>
      <c r="U96" s="55">
        <f>IFERROR(Inv_SY!U98/Inv_SY!$Y98-1,"")</f>
        <v>-3.4691281715955924E-2</v>
      </c>
      <c r="V96" s="55">
        <f>IFERROR(Inv_SY!J98/Inv_SY!$Z98-1,"")</f>
        <v>0.41359412449883148</v>
      </c>
      <c r="W96" s="55">
        <f>IFERROR(Inv_SY!K98/Inv_SY!$Z98-1,"")</f>
        <v>0.30523265658032139</v>
      </c>
      <c r="X96" s="55">
        <f>IFERROR(Inv_SY!L98/Inv_SY!$Z98-1,"")</f>
        <v>-1</v>
      </c>
      <c r="Y96" s="55">
        <f>IFERROR(Inv_SY!M98/Inv_SY!$Z98-1,"")</f>
        <v>0.28464665989035698</v>
      </c>
      <c r="Z96" s="55">
        <f>IFERROR(Inv_SY!N98/Inv_SY!$Z98-1,"")</f>
        <v>0.38953663864632593</v>
      </c>
      <c r="AA96" s="55">
        <f>IFERROR(Inv_SY!O98/Inv_SY!$Z98-1,"")</f>
        <v>0.26897109451422119</v>
      </c>
      <c r="AB96" s="55">
        <f>IFERROR(Inv_SY!P98/Inv_SY!$Z98-1,"")</f>
        <v>0.26631306386348519</v>
      </c>
      <c r="AC96" s="55">
        <f>IFERROR(Inv_SY!Q98/Inv_SY!$Z98-1,"")</f>
        <v>-1</v>
      </c>
      <c r="AD96" s="55">
        <f>IFERROR(Inv_SY!R98/Inv_SY!$Z98-1,"")</f>
        <v>-2.6011138101214248E-2</v>
      </c>
      <c r="AE96" s="55">
        <f>IFERROR(Inv_SY!S98/Inv_SY!$Z98-1,"")</f>
        <v>0.10736622198559931</v>
      </c>
      <c r="AF96" s="55">
        <f>IFERROR(Inv_SY!T98/Inv_SY!$Z98-1,"")</f>
        <v>-3.8464420586057035E-2</v>
      </c>
      <c r="AG96" s="55">
        <f>IFERROR(Inv_SY!U98/Inv_SY!$Z98-1,"")</f>
        <v>-4.051122433266352E-2</v>
      </c>
      <c r="AH96" s="55">
        <f>IFERROR(Inv_SY!V98/Inv_SY!$Y98-1,"")</f>
        <v>6.0656703489414543E-3</v>
      </c>
      <c r="AI96" s="55">
        <f>IFERROR(Inv_SY!W98/Inv_SY!$Y98-1,"")</f>
        <v>-1.1192118479349311E-2</v>
      </c>
      <c r="AJ96" s="55">
        <f>IFERROR(Inv_SY!X98/Inv_SY!$Y98-1,"")</f>
        <v>5.1264481304078569E-3</v>
      </c>
      <c r="AK96" s="55">
        <f>IFERROR(Inv_SY!V98/Inv_SY!$Z98-1,"")</f>
        <v>0</v>
      </c>
      <c r="AL96" s="55">
        <f>IFERROR(Inv_SY!W98/Inv_SY!$Z98-1,"")</f>
        <v>-1.7153739896825226E-2</v>
      </c>
      <c r="AM96" s="55">
        <f>IFERROR(Inv_SY!X98/Inv_SY!$Z98-1,"")</f>
        <v>-9.3355955402774082E-4</v>
      </c>
    </row>
    <row r="97" spans="1:39" x14ac:dyDescent="0.3">
      <c r="A97" s="273">
        <f>YEAR(Table5[[#This Row],[Date]])+IF(MONTH(Table5[[#This Row],[Date]])&gt;=4,1,0)</f>
        <v>2026</v>
      </c>
      <c r="B97" s="273"/>
      <c r="C97" s="273">
        <f>YEAR(Table5[[#This Row],[Date]])</f>
        <v>2025</v>
      </c>
      <c r="D97" s="273"/>
      <c r="E97" s="273"/>
      <c r="F97" s="274" t="str">
        <f>TEXT(Table5[[#This Row],[Date]],"mmm-yy")</f>
        <v>Jul-25</v>
      </c>
      <c r="G97" s="273">
        <f t="shared" si="5"/>
        <v>31</v>
      </c>
      <c r="H97" s="275">
        <f t="shared" si="6"/>
        <v>45840</v>
      </c>
      <c r="I97" s="273">
        <v>8.02</v>
      </c>
      <c r="J97" s="55">
        <f>IFERROR(Inv_SY!J99/Inv_SY!$Y99-1,"")</f>
        <v>0.2961962450086415</v>
      </c>
      <c r="K97" s="55">
        <f>IFERROR(Inv_SY!K99/Inv_SY!$Y99-1,"")</f>
        <v>0.46488233465808415</v>
      </c>
      <c r="L97" s="55">
        <f>IFERROR(Inv_SY!L99/Inv_SY!$Y99-1,"")</f>
        <v>-1</v>
      </c>
      <c r="M97" s="55">
        <f>IFERROR(Inv_SY!M99/Inv_SY!$Y99-1,"")</f>
        <v>0.28060629184364272</v>
      </c>
      <c r="N97" s="55">
        <f>IFERROR(Inv_SY!N99/Inv_SY!$Y99-1,"")</f>
        <v>0.42085340966205176</v>
      </c>
      <c r="O97" s="55">
        <f>IFERROR(Inv_SY!O99/Inv_SY!$Y99-1,"")</f>
        <v>0.25466190735044592</v>
      </c>
      <c r="P97" s="55">
        <f>IFERROR(Inv_SY!P99/Inv_SY!$Y99-1,"")</f>
        <v>0.24693987795010908</v>
      </c>
      <c r="Q97" s="55">
        <f>IFERROR(Inv_SY!Q99/Inv_SY!$Y99-1,"")</f>
        <v>-1</v>
      </c>
      <c r="R97" s="55">
        <f>IFERROR(Inv_SY!R99/Inv_SY!$Y99-1,"")</f>
        <v>-2.9881147759813653E-2</v>
      </c>
      <c r="S97" s="55">
        <f>IFERROR(Inv_SY!S99/Inv_SY!$Y99-1,"")</f>
        <v>-1.0441241532509693E-2</v>
      </c>
      <c r="T97" s="55">
        <f>IFERROR(Inv_SY!T99/Inv_SY!$Y99-1,"")</f>
        <v>0.12321073948422701</v>
      </c>
      <c r="U97" s="55">
        <f>IFERROR(Inv_SY!U99/Inv_SY!$Y99-1,"")</f>
        <v>-4.7330813914295167E-2</v>
      </c>
      <c r="V97" s="55">
        <f>IFERROR(Inv_SY!J99/Inv_SY!$Z99-1,"")</f>
        <v>0.28402467749804572</v>
      </c>
      <c r="W97" s="55">
        <f>IFERROR(Inv_SY!K99/Inv_SY!$Z99-1,"")</f>
        <v>0.45112676770591231</v>
      </c>
      <c r="X97" s="55">
        <f>IFERROR(Inv_SY!L99/Inv_SY!$Z99-1,"")</f>
        <v>-1</v>
      </c>
      <c r="Y97" s="55">
        <f>IFERROR(Inv_SY!M99/Inv_SY!$Z99-1,"")</f>
        <v>0.26858111741832658</v>
      </c>
      <c r="Z97" s="55">
        <f>IFERROR(Inv_SY!N99/Inv_SY!$Z99-1,"")</f>
        <v>0.40751128398859993</v>
      </c>
      <c r="AA97" s="55">
        <f>IFERROR(Inv_SY!O99/Inv_SY!$Z99-1,"")</f>
        <v>0.24288035639541516</v>
      </c>
      <c r="AB97" s="55">
        <f>IFERROR(Inv_SY!P99/Inv_SY!$Z99-1,"")</f>
        <v>0.23523083854765137</v>
      </c>
      <c r="AC97" s="55">
        <f>IFERROR(Inv_SY!Q99/Inv_SY!$Z99-1,"")</f>
        <v>-1</v>
      </c>
      <c r="AD97" s="55">
        <f>IFERROR(Inv_SY!R99/Inv_SY!$Z99-1,"")</f>
        <v>-3.8990776914204828E-2</v>
      </c>
      <c r="AE97" s="55">
        <f>IFERROR(Inv_SY!S99/Inv_SY!$Z99-1,"")</f>
        <v>-1.9733415677257393E-2</v>
      </c>
      <c r="AF97" s="55">
        <f>IFERROR(Inv_SY!T99/Inv_SY!$Z99-1,"")</f>
        <v>0.11266354387484045</v>
      </c>
      <c r="AG97" s="55">
        <f>IFERROR(Inv_SY!U99/Inv_SY!$Z99-1,"")</f>
        <v>-5.6276586869862588E-2</v>
      </c>
      <c r="AH97" s="55">
        <f>IFERROR(Inv_SY!V99/Inv_SY!$Y99-1,"")</f>
        <v>9.4792317654770475E-3</v>
      </c>
      <c r="AI97" s="55">
        <f>IFERROR(Inv_SY!W99/Inv_SY!$Y99-1,"")</f>
        <v>-1.7746129526621246E-2</v>
      </c>
      <c r="AJ97" s="55">
        <f>IFERROR(Inv_SY!X99/Inv_SY!$Y99-1,"")</f>
        <v>8.2668977611441985E-3</v>
      </c>
      <c r="AK97" s="55">
        <f>IFERROR(Inv_SY!V99/Inv_SY!$Z99-1,"")</f>
        <v>0</v>
      </c>
      <c r="AL97" s="55">
        <f>IFERROR(Inv_SY!W99/Inv_SY!$Z99-1,"")</f>
        <v>-2.6969709168244815E-2</v>
      </c>
      <c r="AM97" s="55">
        <f>IFERROR(Inv_SY!X99/Inv_SY!$Z99-1,"")</f>
        <v>-1.2009499216862896E-3</v>
      </c>
    </row>
    <row r="98" spans="1:39" x14ac:dyDescent="0.3">
      <c r="A98" s="273">
        <f>YEAR(Table5[[#This Row],[Date]])+IF(MONTH(Table5[[#This Row],[Date]])&gt;=4,1,0)</f>
        <v>2026</v>
      </c>
      <c r="B98" s="273"/>
      <c r="C98" s="273">
        <f>YEAR(Table5[[#This Row],[Date]])</f>
        <v>2025</v>
      </c>
      <c r="D98" s="273"/>
      <c r="E98" s="273"/>
      <c r="F98" s="274" t="str">
        <f>TEXT(Table5[[#This Row],[Date]],"mmm-yy")</f>
        <v>Jul-25</v>
      </c>
      <c r="G98" s="273">
        <f t="shared" si="5"/>
        <v>31</v>
      </c>
      <c r="H98" s="275">
        <f t="shared" si="6"/>
        <v>45841</v>
      </c>
      <c r="I98" s="273">
        <v>8.02</v>
      </c>
      <c r="J98" s="55">
        <f>IFERROR(Inv_SY!J100/Inv_SY!$Y100-1,"")</f>
        <v>0.32687521864939639</v>
      </c>
      <c r="K98" s="55">
        <f>IFERROR(Inv_SY!K100/Inv_SY!$Y100-1,"")</f>
        <v>0.32647747427929796</v>
      </c>
      <c r="L98" s="55">
        <f>IFERROR(Inv_SY!L100/Inv_SY!$Y100-1,"")</f>
        <v>-1</v>
      </c>
      <c r="M98" s="55">
        <f>IFERROR(Inv_SY!M100/Inv_SY!$Y100-1,"")</f>
        <v>0.36844266202606502</v>
      </c>
      <c r="N98" s="55">
        <f>IFERROR(Inv_SY!N100/Inv_SY!$Y100-1,"")</f>
        <v>0.30692062268285847</v>
      </c>
      <c r="O98" s="55">
        <f>IFERROR(Inv_SY!O100/Inv_SY!$Y100-1,"")</f>
        <v>0.35455648803506645</v>
      </c>
      <c r="P98" s="55">
        <f>IFERROR(Inv_SY!P100/Inv_SY!$Y100-1,"")</f>
        <v>0.29768991044346294</v>
      </c>
      <c r="Q98" s="55">
        <f>IFERROR(Inv_SY!Q100/Inv_SY!$Y100-1,"")</f>
        <v>-1</v>
      </c>
      <c r="R98" s="55">
        <f>IFERROR(Inv_SY!R100/Inv_SY!$Y100-1,"")</f>
        <v>-8.1756010147656655E-3</v>
      </c>
      <c r="S98" s="55">
        <f>IFERROR(Inv_SY!S100/Inv_SY!$Y100-1,"")</f>
        <v>1.1576306230274502E-2</v>
      </c>
      <c r="T98" s="55">
        <f>IFERROR(Inv_SY!T100/Inv_SY!$Y100-1,"")</f>
        <v>-2.0643449455763241E-2</v>
      </c>
      <c r="U98" s="55">
        <f>IFERROR(Inv_SY!U100/Inv_SY!$Y100-1,"")</f>
        <v>3.542608379653589E-2</v>
      </c>
      <c r="V98" s="55">
        <f>IFERROR(Inv_SY!J100/Inv_SY!$Z100-1,"")</f>
        <v>0.32041995450175587</v>
      </c>
      <c r="W98" s="55">
        <f>IFERROR(Inv_SY!K100/Inv_SY!$Z100-1,"")</f>
        <v>0.32002414516287669</v>
      </c>
      <c r="X98" s="55">
        <f>IFERROR(Inv_SY!L100/Inv_SY!$Z100-1,"")</f>
        <v>-1</v>
      </c>
      <c r="Y98" s="55">
        <f>IFERROR(Inv_SY!M100/Inv_SY!$Z100-1,"")</f>
        <v>0.36178517175861513</v>
      </c>
      <c r="Z98" s="55">
        <f>IFERROR(Inv_SY!N100/Inv_SY!$Z100-1,"")</f>
        <v>0.30056243788835735</v>
      </c>
      <c r="AA98" s="55">
        <f>IFERROR(Inv_SY!O100/Inv_SY!$Z100-1,"")</f>
        <v>0.34796655417371425</v>
      </c>
      <c r="AB98" s="55">
        <f>IFERROR(Inv_SY!P100/Inv_SY!$Z100-1,"")</f>
        <v>0.29137663317676776</v>
      </c>
      <c r="AC98" s="55">
        <f>IFERROR(Inv_SY!Q100/Inv_SY!$Z100-1,"")</f>
        <v>-1</v>
      </c>
      <c r="AD98" s="55">
        <f>IFERROR(Inv_SY!R100/Inv_SY!$Z100-1,"")</f>
        <v>-1.3000838831808914E-2</v>
      </c>
      <c r="AE98" s="55">
        <f>IFERROR(Inv_SY!S100/Inv_SY!$Z100-1,"")</f>
        <v>6.6549751431979054E-3</v>
      </c>
      <c r="AF98" s="55">
        <f>IFERROR(Inv_SY!T100/Inv_SY!$Z100-1,"")</f>
        <v>-2.5408031037835621E-2</v>
      </c>
      <c r="AG98" s="55">
        <f>IFERROR(Inv_SY!U100/Inv_SY!$Z100-1,"")</f>
        <v>3.0388723250253991E-2</v>
      </c>
      <c r="AH98" s="55">
        <f>IFERROR(Inv_SY!V100/Inv_SY!$Y100-1,"")</f>
        <v>4.8887962694235121E-3</v>
      </c>
      <c r="AI98" s="55">
        <f>IFERROR(Inv_SY!W100/Inv_SY!$Y100-1,"")</f>
        <v>-8.5528228899490744E-3</v>
      </c>
      <c r="AJ98" s="55">
        <f>IFERROR(Inv_SY!X100/Inv_SY!$Y100-1,"")</f>
        <v>3.6640266205252292E-3</v>
      </c>
      <c r="AK98" s="55">
        <f>IFERROR(Inv_SY!V100/Inv_SY!$Z100-1,"")</f>
        <v>0</v>
      </c>
      <c r="AL98" s="55">
        <f>IFERROR(Inv_SY!W100/Inv_SY!$Z100-1,"")</f>
        <v>-1.3376225517961471E-2</v>
      </c>
      <c r="AM98" s="55">
        <f>IFERROR(Inv_SY!X100/Inv_SY!$Z100-1,"")</f>
        <v>-1.2188111295948767E-3</v>
      </c>
    </row>
    <row r="99" spans="1:39" x14ac:dyDescent="0.3">
      <c r="A99" s="273">
        <f>YEAR(Table5[[#This Row],[Date]])+IF(MONTH(Table5[[#This Row],[Date]])&gt;=4,1,0)</f>
        <v>2026</v>
      </c>
      <c r="B99" s="273"/>
      <c r="C99" s="273">
        <f>YEAR(Table5[[#This Row],[Date]])</f>
        <v>2025</v>
      </c>
      <c r="D99" s="273"/>
      <c r="E99" s="273"/>
      <c r="F99" s="274" t="str">
        <f>TEXT(Table5[[#This Row],[Date]],"mmm-yy")</f>
        <v>Jul-25</v>
      </c>
      <c r="G99" s="273">
        <f t="shared" si="5"/>
        <v>31</v>
      </c>
      <c r="H99" s="275">
        <f t="shared" si="6"/>
        <v>45842</v>
      </c>
      <c r="I99" s="273">
        <v>8.02</v>
      </c>
      <c r="J99" s="55">
        <f>IFERROR(Inv_SY!J101/Inv_SY!$Y101-1,"")</f>
        <v>0.32220154486401209</v>
      </c>
      <c r="K99" s="55">
        <f>IFERROR(Inv_SY!K101/Inv_SY!$Y101-1,"")</f>
        <v>0.3213222435619485</v>
      </c>
      <c r="L99" s="55">
        <f>IFERROR(Inv_SY!L101/Inv_SY!$Y101-1,"")</f>
        <v>-1</v>
      </c>
      <c r="M99" s="55">
        <f>IFERROR(Inv_SY!M101/Inv_SY!$Y101-1,"")</f>
        <v>0.31460824107331309</v>
      </c>
      <c r="N99" s="55">
        <f>IFERROR(Inv_SY!N101/Inv_SY!$Y101-1,"")</f>
        <v>0.30459232983615547</v>
      </c>
      <c r="O99" s="55">
        <f>IFERROR(Inv_SY!O101/Inv_SY!$Y101-1,"")</f>
        <v>0.29627688459326107</v>
      </c>
      <c r="P99" s="55">
        <f>IFERROR(Inv_SY!P101/Inv_SY!$Y101-1,"")</f>
        <v>0.31244148842991559</v>
      </c>
      <c r="Q99" s="55">
        <f>IFERROR(Inv_SY!Q101/Inv_SY!$Y101-1,"")</f>
        <v>-1</v>
      </c>
      <c r="R99" s="55">
        <f>IFERROR(Inv_SY!R101/Inv_SY!$Y101-1,"")</f>
        <v>4.5366689311526098E-2</v>
      </c>
      <c r="S99" s="55">
        <f>IFERROR(Inv_SY!S101/Inv_SY!$Y101-1,"")</f>
        <v>5.2463159910187906E-2</v>
      </c>
      <c r="T99" s="55">
        <f>IFERROR(Inv_SY!T101/Inv_SY!$Y101-1,"")</f>
        <v>1.8973943396430659E-2</v>
      </c>
      <c r="U99" s="55">
        <f>IFERROR(Inv_SY!U101/Inv_SY!$Y101-1,"")</f>
        <v>1.2235743393919973E-2</v>
      </c>
      <c r="V99" s="55">
        <f>IFERROR(Inv_SY!J101/Inv_SY!$Z101-1,"")</f>
        <v>0.28221789543213771</v>
      </c>
      <c r="W99" s="55">
        <f>IFERROR(Inv_SY!K101/Inv_SY!$Z101-1,"")</f>
        <v>0.28136518438414182</v>
      </c>
      <c r="X99" s="55">
        <f>IFERROR(Inv_SY!L101/Inv_SY!$Z101-1,"")</f>
        <v>-1</v>
      </c>
      <c r="Y99" s="55">
        <f>IFERROR(Inv_SY!M101/Inv_SY!$Z101-1,"")</f>
        <v>0.27485421472573801</v>
      </c>
      <c r="Z99" s="55">
        <f>IFERROR(Inv_SY!N101/Inv_SY!$Z101-1,"")</f>
        <v>0.26514118672540832</v>
      </c>
      <c r="AA99" s="55">
        <f>IFERROR(Inv_SY!O101/Inv_SY!$Z101-1,"")</f>
        <v>0.2570772022743677</v>
      </c>
      <c r="AB99" s="55">
        <f>IFERROR(Inv_SY!P101/Inv_SY!$Z101-1,"")</f>
        <v>0.27275298513246526</v>
      </c>
      <c r="AC99" s="55">
        <f>IFERROR(Inv_SY!Q101/Inv_SY!$Z101-1,"")</f>
        <v>-1</v>
      </c>
      <c r="AD99" s="55">
        <f>IFERROR(Inv_SY!R101/Inv_SY!$Z101-1,"")</f>
        <v>1.3754583429824052E-2</v>
      </c>
      <c r="AE99" s="55">
        <f>IFERROR(Inv_SY!S101/Inv_SY!$Z101-1,"")</f>
        <v>2.0636455283141064E-2</v>
      </c>
      <c r="AF99" s="55">
        <f>IFERROR(Inv_SY!T101/Inv_SY!$Z101-1,"")</f>
        <v>-1.1840040365150739E-2</v>
      </c>
      <c r="AG99" s="55">
        <f>IFERROR(Inv_SY!U101/Inv_SY!$Z101-1,"")</f>
        <v>-1.8374475799582735E-2</v>
      </c>
      <c r="AH99" s="55">
        <f>IFERROR(Inv_SY!V101/Inv_SY!$Y101-1,"")</f>
        <v>-1.114711795579848E-2</v>
      </c>
      <c r="AI99" s="55">
        <f>IFERROR(Inv_SY!W101/Inv_SY!$Y101-1,"")</f>
        <v>-2.0036076081903831E-2</v>
      </c>
      <c r="AJ99" s="55">
        <f>IFERROR(Inv_SY!X101/Inv_SY!$Y101-1,"")</f>
        <v>3.1183194037702089E-2</v>
      </c>
      <c r="AK99" s="55">
        <f>IFERROR(Inv_SY!V101/Inv_SY!$Z101-1,"")</f>
        <v>-4.10502345638043E-2</v>
      </c>
      <c r="AL99" s="55">
        <f>IFERROR(Inv_SY!W101/Inv_SY!$Z101-1,"")</f>
        <v>-4.9670388749308181E-2</v>
      </c>
      <c r="AM99" s="55">
        <f>IFERROR(Inv_SY!X101/Inv_SY!$Z101-1,"")</f>
        <v>0</v>
      </c>
    </row>
    <row r="100" spans="1:39" x14ac:dyDescent="0.3">
      <c r="A100" s="273">
        <f>YEAR(Table5[[#This Row],[Date]])+IF(MONTH(Table5[[#This Row],[Date]])&gt;=4,1,0)</f>
        <v>2026</v>
      </c>
      <c r="B100" s="273"/>
      <c r="C100" s="273">
        <f>YEAR(Table5[[#This Row],[Date]])</f>
        <v>2025</v>
      </c>
      <c r="D100" s="273"/>
      <c r="E100" s="273"/>
      <c r="F100" s="274" t="str">
        <f>TEXT(Table5[[#This Row],[Date]],"mmm-yy")</f>
        <v>Jul-25</v>
      </c>
      <c r="G100" s="273">
        <f t="shared" si="5"/>
        <v>31</v>
      </c>
      <c r="H100" s="275">
        <f t="shared" si="6"/>
        <v>45843</v>
      </c>
      <c r="I100" s="273">
        <v>8.02</v>
      </c>
      <c r="J100" s="55">
        <f>IFERROR(Inv_SY!J102/Inv_SY!$Y102-1,"")</f>
        <v>0.3499657651873529</v>
      </c>
      <c r="K100" s="55">
        <f>IFERROR(Inv_SY!K102/Inv_SY!$Y102-1,"")</f>
        <v>0.32678225419688856</v>
      </c>
      <c r="L100" s="55">
        <f>IFERROR(Inv_SY!L102/Inv_SY!$Y102-1,"")</f>
        <v>-1</v>
      </c>
      <c r="M100" s="55">
        <f>IFERROR(Inv_SY!M102/Inv_SY!$Y102-1,"")</f>
        <v>0.30762681824228322</v>
      </c>
      <c r="N100" s="55">
        <f>IFERROR(Inv_SY!N102/Inv_SY!$Y102-1,"")</f>
        <v>0.32685429989034476</v>
      </c>
      <c r="O100" s="55">
        <f>IFERROR(Inv_SY!O102/Inv_SY!$Y102-1,"")</f>
        <v>0.29448000571178601</v>
      </c>
      <c r="P100" s="55">
        <f>IFERROR(Inv_SY!P102/Inv_SY!$Y102-1,"")</f>
        <v>0.29501274726155957</v>
      </c>
      <c r="Q100" s="55">
        <f>IFERROR(Inv_SY!Q102/Inv_SY!$Y102-1,"")</f>
        <v>-1</v>
      </c>
      <c r="R100" s="55">
        <f>IFERROR(Inv_SY!R102/Inv_SY!$Y102-1,"")</f>
        <v>2.2541600673392281E-2</v>
      </c>
      <c r="S100" s="55">
        <f>IFERROR(Inv_SY!S102/Inv_SY!$Y102-1,"")</f>
        <v>6.4525632635884733E-2</v>
      </c>
      <c r="T100" s="55">
        <f>IFERROR(Inv_SY!T102/Inv_SY!$Y102-1,"")</f>
        <v>9.6149832920189304E-3</v>
      </c>
      <c r="U100" s="55">
        <f>IFERROR(Inv_SY!U102/Inv_SY!$Y102-1,"")</f>
        <v>3.6599580278215971E-3</v>
      </c>
      <c r="V100" s="55">
        <f>IFERROR(Inv_SY!J102/Inv_SY!$Z102-1,"")</f>
        <v>0.31841663561218025</v>
      </c>
      <c r="W100" s="55">
        <f>IFERROR(Inv_SY!K102/Inv_SY!$Z102-1,"")</f>
        <v>0.29577493065199256</v>
      </c>
      <c r="X100" s="55">
        <f>IFERROR(Inv_SY!L102/Inv_SY!$Z102-1,"")</f>
        <v>-1</v>
      </c>
      <c r="Y100" s="55">
        <f>IFERROR(Inv_SY!M102/Inv_SY!$Z102-1,"")</f>
        <v>0.27706716333209269</v>
      </c>
      <c r="Z100" s="55">
        <f>IFERROR(Inv_SY!N102/Inv_SY!$Z102-1,"")</f>
        <v>0.2958452926146633</v>
      </c>
      <c r="AA100" s="55">
        <f>IFERROR(Inv_SY!O102/Inv_SY!$Z102-1,"")</f>
        <v>0.26422759599456347</v>
      </c>
      <c r="AB100" s="55">
        <f>IFERROR(Inv_SY!P102/Inv_SY!$Z102-1,"")</f>
        <v>0.26474788720476772</v>
      </c>
      <c r="AC100" s="55">
        <f>IFERROR(Inv_SY!Q102/Inv_SY!$Z102-1,"")</f>
        <v>-1</v>
      </c>
      <c r="AD100" s="55">
        <f>IFERROR(Inv_SY!R102/Inv_SY!$Z102-1,"")</f>
        <v>-1.3555219704343147E-3</v>
      </c>
      <c r="AE100" s="55">
        <f>IFERROR(Inv_SY!S102/Inv_SY!$Z102-1,"")</f>
        <v>3.9647329803174536E-2</v>
      </c>
      <c r="AF100" s="55">
        <f>IFERROR(Inv_SY!T102/Inv_SY!$Z102-1,"")</f>
        <v>-1.3980040189554344E-2</v>
      </c>
      <c r="AG100" s="55">
        <f>IFERROR(Inv_SY!U102/Inv_SY!$Z102-1,"")</f>
        <v>-1.979589461806941E-2</v>
      </c>
      <c r="AH100" s="55">
        <f>IFERROR(Inv_SY!V102/Inv_SY!$Y102-1,"")</f>
        <v>-4.6538406770066931E-3</v>
      </c>
      <c r="AI100" s="55">
        <f>IFERROR(Inv_SY!W102/Inv_SY!$Y102-1,"")</f>
        <v>-1.927571901071945E-2</v>
      </c>
      <c r="AJ100" s="55">
        <f>IFERROR(Inv_SY!X102/Inv_SY!$Y102-1,"")</f>
        <v>2.3929559687726254E-2</v>
      </c>
      <c r="AK100" s="55">
        <f>IFERROR(Inv_SY!V102/Inv_SY!$Z102-1,"")</f>
        <v>-2.7915397201200065E-2</v>
      </c>
      <c r="AL100" s="55">
        <f>IFERROR(Inv_SY!W102/Inv_SY!$Z102-1,"")</f>
        <v>-4.2195557584666421E-2</v>
      </c>
      <c r="AM100" s="55">
        <f>IFERROR(Inv_SY!X102/Inv_SY!$Z102-1,"")</f>
        <v>0</v>
      </c>
    </row>
    <row r="101" spans="1:39" x14ac:dyDescent="0.3">
      <c r="A101" s="273">
        <f>YEAR(Table5[[#This Row],[Date]])+IF(MONTH(Table5[[#This Row],[Date]])&gt;=4,1,0)</f>
        <v>2026</v>
      </c>
      <c r="B101" s="273"/>
      <c r="C101" s="273">
        <f>YEAR(Table5[[#This Row],[Date]])</f>
        <v>2025</v>
      </c>
      <c r="D101" s="273"/>
      <c r="E101" s="273"/>
      <c r="F101" s="274" t="str">
        <f>TEXT(Table5[[#This Row],[Date]],"mmm-yy")</f>
        <v>Jul-25</v>
      </c>
      <c r="G101" s="273">
        <f t="shared" si="5"/>
        <v>31</v>
      </c>
      <c r="H101" s="275">
        <f t="shared" si="6"/>
        <v>45844</v>
      </c>
      <c r="I101" s="273">
        <v>8.02</v>
      </c>
      <c r="J101" s="55">
        <f>IFERROR(Inv_SY!J103/Inv_SY!$Y103-1,"")</f>
        <v>0.33241805939122782</v>
      </c>
      <c r="K101" s="55">
        <f>IFERROR(Inv_SY!K103/Inv_SY!$Y103-1,"")</f>
        <v>0.33149482071371161</v>
      </c>
      <c r="L101" s="55">
        <f>IFERROR(Inv_SY!L103/Inv_SY!$Y103-1,"")</f>
        <v>-1</v>
      </c>
      <c r="M101" s="55">
        <f>IFERROR(Inv_SY!M103/Inv_SY!$Y103-1,"")</f>
        <v>0.33114838639091038</v>
      </c>
      <c r="N101" s="55">
        <f>IFERROR(Inv_SY!N103/Inv_SY!$Y103-1,"")</f>
        <v>0.30786778080064914</v>
      </c>
      <c r="O101" s="55">
        <f>IFERROR(Inv_SY!O103/Inv_SY!$Y103-1,"")</f>
        <v>0.29979776665554114</v>
      </c>
      <c r="P101" s="55">
        <f>IFERROR(Inv_SY!P103/Inv_SY!$Y103-1,"")</f>
        <v>0.3213052927259914</v>
      </c>
      <c r="Q101" s="55">
        <f>IFERROR(Inv_SY!Q103/Inv_SY!$Y103-1,"")</f>
        <v>-1</v>
      </c>
      <c r="R101" s="55">
        <f>IFERROR(Inv_SY!R103/Inv_SY!$Y103-1,"")</f>
        <v>1.7119285983104193E-2</v>
      </c>
      <c r="S101" s="55">
        <f>IFERROR(Inv_SY!S103/Inv_SY!$Y103-1,"")</f>
        <v>3.7064909763538934E-2</v>
      </c>
      <c r="T101" s="55">
        <f>IFERROR(Inv_SY!T103/Inv_SY!$Y103-1,"")</f>
        <v>4.9896296176403787E-3</v>
      </c>
      <c r="U101" s="55">
        <f>IFERROR(Inv_SY!U103/Inv_SY!$Y103-1,"")</f>
        <v>1.6916563495438686E-2</v>
      </c>
      <c r="V101" s="55">
        <f>IFERROR(Inv_SY!J103/Inv_SY!$Z103-1,"")</f>
        <v>0.30883480084223081</v>
      </c>
      <c r="W101" s="55">
        <f>IFERROR(Inv_SY!K103/Inv_SY!$Z103-1,"")</f>
        <v>0.30792790311437446</v>
      </c>
      <c r="X101" s="55">
        <f>IFERROR(Inv_SY!L103/Inv_SY!$Z103-1,"")</f>
        <v>-1</v>
      </c>
      <c r="Y101" s="55">
        <f>IFERROR(Inv_SY!M103/Inv_SY!$Z103-1,"")</f>
        <v>0.30758760053839795</v>
      </c>
      <c r="Z101" s="55">
        <f>IFERROR(Inv_SY!N103/Inv_SY!$Z103-1,"")</f>
        <v>0.28471905221270366</v>
      </c>
      <c r="AA101" s="55">
        <f>IFERROR(Inv_SY!O103/Inv_SY!$Z103-1,"")</f>
        <v>0.27679187404068739</v>
      </c>
      <c r="AB101" s="55">
        <f>IFERROR(Inv_SY!P103/Inv_SY!$Z103-1,"")</f>
        <v>0.29791872563401411</v>
      </c>
      <c r="AC101" s="55">
        <f>IFERROR(Inv_SY!Q103/Inv_SY!$Z103-1,"")</f>
        <v>-1</v>
      </c>
      <c r="AD101" s="55">
        <f>IFERROR(Inv_SY!R103/Inv_SY!$Z103-1,"")</f>
        <v>-8.8331232111749092E-4</v>
      </c>
      <c r="AE101" s="55">
        <f>IFERROR(Inv_SY!S103/Inv_SY!$Z103-1,"")</f>
        <v>1.8709282018430029E-2</v>
      </c>
      <c r="AF101" s="55">
        <f>IFERROR(Inv_SY!T103/Inv_SY!$Z103-1,"")</f>
        <v>-1.2798278694831855E-2</v>
      </c>
      <c r="AG101" s="55">
        <f>IFERROR(Inv_SY!U103/Inv_SY!$Z103-1,"")</f>
        <v>-1.0824467030779994E-3</v>
      </c>
      <c r="AH101" s="55">
        <f>IFERROR(Inv_SY!V103/Inv_SY!$Y103-1,"")</f>
        <v>-1.9040204042739539E-3</v>
      </c>
      <c r="AI101" s="55">
        <f>IFERROR(Inv_SY!W103/Inv_SY!$Y103-1,"")</f>
        <v>-1.6114493875619251E-2</v>
      </c>
      <c r="AJ101" s="55">
        <f>IFERROR(Inv_SY!X103/Inv_SY!$Y103-1,"")</f>
        <v>1.8018514279893205E-2</v>
      </c>
      <c r="AK101" s="55">
        <f>IFERROR(Inv_SY!V103/Inv_SY!$Z103-1,"")</f>
        <v>-1.9569913910907233E-2</v>
      </c>
      <c r="AL101" s="55">
        <f>IFERROR(Inv_SY!W103/Inv_SY!$Z103-1,"")</f>
        <v>-3.3528867772760318E-2</v>
      </c>
      <c r="AM101" s="55">
        <f>IFERROR(Inv_SY!X103/Inv_SY!$Z103-1,"")</f>
        <v>0</v>
      </c>
    </row>
    <row r="102" spans="1:39" x14ac:dyDescent="0.3">
      <c r="A102" s="273">
        <f>YEAR(Table5[[#This Row],[Date]])+IF(MONTH(Table5[[#This Row],[Date]])&gt;=4,1,0)</f>
        <v>2026</v>
      </c>
      <c r="B102" s="273"/>
      <c r="C102" s="273">
        <f>YEAR(Table5[[#This Row],[Date]])</f>
        <v>2025</v>
      </c>
      <c r="D102" s="273"/>
      <c r="E102" s="273"/>
      <c r="F102" s="274" t="str">
        <f>TEXT(Table5[[#This Row],[Date]],"mmm-yy")</f>
        <v>Jul-25</v>
      </c>
      <c r="G102" s="273">
        <f t="shared" si="5"/>
        <v>31</v>
      </c>
      <c r="H102" s="275">
        <f t="shared" si="6"/>
        <v>45845</v>
      </c>
      <c r="I102" s="273">
        <v>8.02</v>
      </c>
      <c r="J102" s="55">
        <f>IFERROR(Inv_SY!J104/Inv_SY!$Y104-1,"")</f>
        <v>0.41098319154990093</v>
      </c>
      <c r="K102" s="55">
        <f>IFERROR(Inv_SY!K104/Inv_SY!$Y104-1,"")</f>
        <v>0.30911911919022117</v>
      </c>
      <c r="L102" s="55">
        <f>IFERROR(Inv_SY!L104/Inv_SY!$Y104-1,"")</f>
        <v>-1</v>
      </c>
      <c r="M102" s="55">
        <f>IFERROR(Inv_SY!M104/Inv_SY!$Y104-1,"")</f>
        <v>0.29205793052096407</v>
      </c>
      <c r="N102" s="55">
        <f>IFERROR(Inv_SY!N104/Inv_SY!$Y104-1,"")</f>
        <v>0.3795647473207715</v>
      </c>
      <c r="O102" s="55">
        <f>IFERROR(Inv_SY!O104/Inv_SY!$Y104-1,"")</f>
        <v>0.29131398573213452</v>
      </c>
      <c r="P102" s="55">
        <f>IFERROR(Inv_SY!P104/Inv_SY!$Y104-1,"")</f>
        <v>0.27195524850976049</v>
      </c>
      <c r="Q102" s="55">
        <f>IFERROR(Inv_SY!Q104/Inv_SY!$Y104-1,"")</f>
        <v>-1</v>
      </c>
      <c r="R102" s="55">
        <f>IFERROR(Inv_SY!R104/Inv_SY!$Y104-1,"")</f>
        <v>-1.1921151137714636E-2</v>
      </c>
      <c r="S102" s="55">
        <f>IFERROR(Inv_SY!S104/Inv_SY!$Y104-1,"")</f>
        <v>0.11259439879856714</v>
      </c>
      <c r="T102" s="55">
        <f>IFERROR(Inv_SY!T104/Inv_SY!$Y104-1,"")</f>
        <v>-2.3799901461135642E-2</v>
      </c>
      <c r="U102" s="55">
        <f>IFERROR(Inv_SY!U104/Inv_SY!$Y104-1,"")</f>
        <v>-2.9038900201058149E-2</v>
      </c>
      <c r="V102" s="55">
        <f>IFERROR(Inv_SY!J104/Inv_SY!$Z104-1,"")</f>
        <v>0.39638459970442841</v>
      </c>
      <c r="W102" s="55">
        <f>IFERROR(Inv_SY!K104/Inv_SY!$Z104-1,"")</f>
        <v>0.29557445344748512</v>
      </c>
      <c r="X102" s="55">
        <f>IFERROR(Inv_SY!L104/Inv_SY!$Z104-1,"")</f>
        <v>-1</v>
      </c>
      <c r="Y102" s="55">
        <f>IFERROR(Inv_SY!M104/Inv_SY!$Z104-1,"")</f>
        <v>0.27868978660447863</v>
      </c>
      <c r="Z102" s="55">
        <f>IFERROR(Inv_SY!N104/Inv_SY!$Z104-1,"")</f>
        <v>0.36529122316318352</v>
      </c>
      <c r="AA102" s="55">
        <f>IFERROR(Inv_SY!O104/Inv_SY!$Z104-1,"")</f>
        <v>0.27795353896356167</v>
      </c>
      <c r="AB102" s="55">
        <f>IFERROR(Inv_SY!P104/Inv_SY!$Z104-1,"")</f>
        <v>0.2587950949162201</v>
      </c>
      <c r="AC102" s="55">
        <f>IFERROR(Inv_SY!Q104/Inv_SY!$Z104-1,"")</f>
        <v>-1</v>
      </c>
      <c r="AD102" s="55">
        <f>IFERROR(Inv_SY!R104/Inv_SY!$Z104-1,"")</f>
        <v>-2.214420688499108E-2</v>
      </c>
      <c r="AE102" s="55">
        <f>IFERROR(Inv_SY!S104/Inv_SY!$Z104-1,"")</f>
        <v>0.10108305577556664</v>
      </c>
      <c r="AF102" s="55">
        <f>IFERROR(Inv_SY!T104/Inv_SY!$Z104-1,"")</f>
        <v>-3.390005494519277E-2</v>
      </c>
      <c r="AG102" s="55">
        <f>IFERROR(Inv_SY!U104/Inv_SY!$Z104-1,"")</f>
        <v>-3.908484892580899E-2</v>
      </c>
      <c r="AH102" s="55">
        <f>IFERROR(Inv_SY!V104/Inv_SY!$Y104-1,"")</f>
        <v>2.1883482513360697E-3</v>
      </c>
      <c r="AI102" s="55">
        <f>IFERROR(Inv_SY!W104/Inv_SY!$Y104-1,"")</f>
        <v>-1.2642912021634256E-2</v>
      </c>
      <c r="AJ102" s="55">
        <f>IFERROR(Inv_SY!X104/Inv_SY!$Y104-1,"")</f>
        <v>1.0454563770298186E-2</v>
      </c>
      <c r="AK102" s="55">
        <f>IFERROR(Inv_SY!V104/Inv_SY!$Z104-1,"")</f>
        <v>-8.1806899739444994E-3</v>
      </c>
      <c r="AL102" s="55">
        <f>IFERROR(Inv_SY!W104/Inv_SY!$Z104-1,"")</f>
        <v>-2.2858500144478655E-2</v>
      </c>
      <c r="AM102" s="55">
        <f>IFERROR(Inv_SY!X104/Inv_SY!$Z104-1,"")</f>
        <v>0</v>
      </c>
    </row>
    <row r="103" spans="1:39" x14ac:dyDescent="0.3">
      <c r="A103" s="273">
        <f>YEAR(Table5[[#This Row],[Date]])+IF(MONTH(Table5[[#This Row],[Date]])&gt;=4,1,0)</f>
        <v>2026</v>
      </c>
      <c r="B103" s="273"/>
      <c r="C103" s="273">
        <f>YEAR(Table5[[#This Row],[Date]])</f>
        <v>2025</v>
      </c>
      <c r="D103" s="273"/>
      <c r="E103" s="273"/>
      <c r="F103" s="274" t="str">
        <f>TEXT(Table5[[#This Row],[Date]],"mmm-yy")</f>
        <v>Jul-25</v>
      </c>
      <c r="G103" s="273">
        <f t="shared" si="5"/>
        <v>31</v>
      </c>
      <c r="H103" s="275">
        <f t="shared" si="6"/>
        <v>45846</v>
      </c>
      <c r="I103" s="273">
        <v>8.02</v>
      </c>
      <c r="J103" s="55">
        <f>IFERROR(Inv_SY!J105/Inv_SY!$Y105-1,"")</f>
        <v>0.32217030615372266</v>
      </c>
      <c r="K103" s="55">
        <f>IFERROR(Inv_SY!K105/Inv_SY!$Y105-1,"")</f>
        <v>0.32159658333842933</v>
      </c>
      <c r="L103" s="55">
        <f>IFERROR(Inv_SY!L105/Inv_SY!$Y105-1,"")</f>
        <v>-1</v>
      </c>
      <c r="M103" s="55">
        <f>IFERROR(Inv_SY!M105/Inv_SY!$Y105-1,"")</f>
        <v>0.36051949554770091</v>
      </c>
      <c r="N103" s="55">
        <f>IFERROR(Inv_SY!N105/Inv_SY!$Y105-1,"")</f>
        <v>0.28972033851434897</v>
      </c>
      <c r="O103" s="55">
        <f>IFERROR(Inv_SY!O105/Inv_SY!$Y105-1,"")</f>
        <v>0.33886213446990809</v>
      </c>
      <c r="P103" s="55">
        <f>IFERROR(Inv_SY!P105/Inv_SY!$Y105-1,"")</f>
        <v>0.29746003884823424</v>
      </c>
      <c r="Q103" s="55">
        <f>IFERROR(Inv_SY!Q105/Inv_SY!$Y105-1,"")</f>
        <v>-1</v>
      </c>
      <c r="R103" s="55">
        <f>IFERROR(Inv_SY!R105/Inv_SY!$Y105-1,"")</f>
        <v>6.5573523351014629E-3</v>
      </c>
      <c r="S103" s="55">
        <f>IFERROR(Inv_SY!S105/Inv_SY!$Y105-1,"")</f>
        <v>2.3345243205318722E-2</v>
      </c>
      <c r="T103" s="55">
        <f>IFERROR(Inv_SY!T105/Inv_SY!$Y105-1,"")</f>
        <v>-6.4685813810286819E-3</v>
      </c>
      <c r="U103" s="55">
        <f>IFERROR(Inv_SY!U105/Inv_SY!$Y105-1,"")</f>
        <v>4.5503598689394131E-2</v>
      </c>
      <c r="V103" s="55">
        <f>IFERROR(Inv_SY!J105/Inv_SY!$Z105-1,"")</f>
        <v>0.30091122257254388</v>
      </c>
      <c r="W103" s="55">
        <f>IFERROR(Inv_SY!K105/Inv_SY!$Z105-1,"")</f>
        <v>0.30034672460614154</v>
      </c>
      <c r="X103" s="55">
        <f>IFERROR(Inv_SY!L105/Inv_SY!$Z105-1,"")</f>
        <v>-1</v>
      </c>
      <c r="Y103" s="55">
        <f>IFERROR(Inv_SY!M105/Inv_SY!$Z105-1,"")</f>
        <v>0.33864379804106748</v>
      </c>
      <c r="Z103" s="55">
        <f>IFERROR(Inv_SY!N105/Inv_SY!$Z105-1,"")</f>
        <v>0.26898301568595739</v>
      </c>
      <c r="AA103" s="55">
        <f>IFERROR(Inv_SY!O105/Inv_SY!$Z105-1,"")</f>
        <v>0.31733466415243283</v>
      </c>
      <c r="AB103" s="55">
        <f>IFERROR(Inv_SY!P105/Inv_SY!$Z105-1,"")</f>
        <v>0.27659826992123837</v>
      </c>
      <c r="AC103" s="55">
        <f>IFERROR(Inv_SY!Q105/Inv_SY!$Z105-1,"")</f>
        <v>-1</v>
      </c>
      <c r="AD103" s="55">
        <f>IFERROR(Inv_SY!R105/Inv_SY!$Z105-1,"")</f>
        <v>-9.6270127069418843E-3</v>
      </c>
      <c r="AE103" s="55">
        <f>IFERROR(Inv_SY!S105/Inv_SY!$Z105-1,"")</f>
        <v>6.890946843913115E-3</v>
      </c>
      <c r="AF103" s="55">
        <f>IFERROR(Inv_SY!T105/Inv_SY!$Z105-1,"")</f>
        <v>-2.2443503348828719E-2</v>
      </c>
      <c r="AG103" s="55">
        <f>IFERROR(Inv_SY!U105/Inv_SY!$Z105-1,"")</f>
        <v>2.8693019684924215E-2</v>
      </c>
      <c r="AH103" s="55">
        <f>IFERROR(Inv_SY!V105/Inv_SY!$Y105-1,"")</f>
        <v>5.0611369947328733E-4</v>
      </c>
      <c r="AI103" s="55">
        <f>IFERROR(Inv_SY!W105/Inv_SY!$Y105-1,"")</f>
        <v>-1.6847800366715404E-2</v>
      </c>
      <c r="AJ103" s="55">
        <f>IFERROR(Inv_SY!X105/Inv_SY!$Y105-1,"")</f>
        <v>1.6341686667241673E-2</v>
      </c>
      <c r="AK103" s="55">
        <f>IFERROR(Inv_SY!V105/Inv_SY!$Z105-1,"")</f>
        <v>-1.5580953901139227E-2</v>
      </c>
      <c r="AL103" s="55">
        <f>IFERROR(Inv_SY!W105/Inv_SY!$Z105-1,"")</f>
        <v>-3.265583560071339E-2</v>
      </c>
      <c r="AM103" s="55">
        <f>IFERROR(Inv_SY!X105/Inv_SY!$Z105-1,"")</f>
        <v>0</v>
      </c>
    </row>
    <row r="104" spans="1:39" x14ac:dyDescent="0.3">
      <c r="A104" s="273">
        <f>YEAR(Table5[[#This Row],[Date]])+IF(MONTH(Table5[[#This Row],[Date]])&gt;=4,1,0)</f>
        <v>2026</v>
      </c>
      <c r="B104" s="273"/>
      <c r="C104" s="273">
        <f>YEAR(Table5[[#This Row],[Date]])</f>
        <v>2025</v>
      </c>
      <c r="D104" s="273"/>
      <c r="E104" s="273"/>
      <c r="F104" s="274" t="str">
        <f>TEXT(Table5[[#This Row],[Date]],"mmm-yy")</f>
        <v>Jul-25</v>
      </c>
      <c r="G104" s="273">
        <f t="shared" si="5"/>
        <v>31</v>
      </c>
      <c r="H104" s="275">
        <f t="shared" si="6"/>
        <v>45847</v>
      </c>
      <c r="I104" s="273">
        <v>8.02</v>
      </c>
      <c r="J104" s="55">
        <f>IFERROR(Inv_SY!J106/Inv_SY!$Y106-1,"")</f>
        <v>0.32573361062043404</v>
      </c>
      <c r="K104" s="55">
        <f>IFERROR(Inv_SY!K106/Inv_SY!$Y106-1,"")</f>
        <v>0.32505834792128963</v>
      </c>
      <c r="L104" s="55">
        <f>IFERROR(Inv_SY!L106/Inv_SY!$Y106-1,"")</f>
        <v>-1</v>
      </c>
      <c r="M104" s="55">
        <f>IFERROR(Inv_SY!M106/Inv_SY!$Y106-1,"")</f>
        <v>0.34029080445437287</v>
      </c>
      <c r="N104" s="55">
        <f>IFERROR(Inv_SY!N106/Inv_SY!$Y106-1,"")</f>
        <v>0.29339374598927437</v>
      </c>
      <c r="O104" s="55">
        <f>IFERROR(Inv_SY!O106/Inv_SY!$Y106-1,"")</f>
        <v>0.28510873128009862</v>
      </c>
      <c r="P104" s="55">
        <f>IFERROR(Inv_SY!P106/Inv_SY!$Y106-1,"")</f>
        <v>0.32785744622921897</v>
      </c>
      <c r="Q104" s="55">
        <f>IFERROR(Inv_SY!Q106/Inv_SY!$Y106-1,"")</f>
        <v>-1</v>
      </c>
      <c r="R104" s="55">
        <f>IFERROR(Inv_SY!R106/Inv_SY!$Y106-1,"")</f>
        <v>5.5503528267289104E-2</v>
      </c>
      <c r="S104" s="55">
        <f>IFERROR(Inv_SY!S106/Inv_SY!$Y106-1,"")</f>
        <v>4.0031637772209194E-2</v>
      </c>
      <c r="T104" s="55">
        <f>IFERROR(Inv_SY!T106/Inv_SY!$Y106-1,"")</f>
        <v>6.8900681118819751E-3</v>
      </c>
      <c r="U104" s="55">
        <f>IFERROR(Inv_SY!U106/Inv_SY!$Y106-1,"")</f>
        <v>4.3107800465991275E-4</v>
      </c>
      <c r="V104" s="55">
        <f>IFERROR(Inv_SY!J106/Inv_SY!$Z106-1,"")</f>
        <v>0.29386228798534564</v>
      </c>
      <c r="W104" s="55">
        <f>IFERROR(Inv_SY!K106/Inv_SY!$Z106-1,"")</f>
        <v>0.29320325895122656</v>
      </c>
      <c r="X104" s="55">
        <f>IFERROR(Inv_SY!L106/Inv_SY!$Z106-1,"")</f>
        <v>-1</v>
      </c>
      <c r="Y104" s="55">
        <f>IFERROR(Inv_SY!M106/Inv_SY!$Z106-1,"")</f>
        <v>0.30806951933992477</v>
      </c>
      <c r="Z104" s="55">
        <f>IFERROR(Inv_SY!N106/Inv_SY!$Z106-1,"")</f>
        <v>0.26229989044967006</v>
      </c>
      <c r="AA104" s="55">
        <f>IFERROR(Inv_SY!O106/Inv_SY!$Z106-1,"")</f>
        <v>0.25421405178515166</v>
      </c>
      <c r="AB104" s="55">
        <f>IFERROR(Inv_SY!P106/Inv_SY!$Z106-1,"")</f>
        <v>0.29593506548609949</v>
      </c>
      <c r="AC104" s="55">
        <f>IFERROR(Inv_SY!Q106/Inv_SY!$Z106-1,"")</f>
        <v>-1</v>
      </c>
      <c r="AD104" s="55">
        <f>IFERROR(Inv_SY!R106/Inv_SY!$Z106-1,"")</f>
        <v>3.0128676771944196E-2</v>
      </c>
      <c r="AE104" s="55">
        <f>IFERROR(Inv_SY!S106/Inv_SY!$Z106-1,"")</f>
        <v>1.5028738537705477E-2</v>
      </c>
      <c r="AF104" s="55">
        <f>IFERROR(Inv_SY!T106/Inv_SY!$Z106-1,"")</f>
        <v>-1.7316090623010094E-2</v>
      </c>
      <c r="AG104" s="55">
        <f>IFERROR(Inv_SY!U106/Inv_SY!$Z106-1,"")</f>
        <v>-2.3619803262756811E-2</v>
      </c>
      <c r="AH104" s="55">
        <f>IFERROR(Inv_SY!V106/Inv_SY!$Y106-1,"")</f>
        <v>-2.8560236063633893E-3</v>
      </c>
      <c r="AI104" s="55">
        <f>IFERROR(Inv_SY!W106/Inv_SY!$Y106-1,"")</f>
        <v>-2.1776677208122153E-2</v>
      </c>
      <c r="AJ104" s="55">
        <f>IFERROR(Inv_SY!X106/Inv_SY!$Y106-1,"")</f>
        <v>2.463270081448532E-2</v>
      </c>
      <c r="AK104" s="55">
        <f>IFERROR(Inv_SY!V106/Inv_SY!$Z106-1,"")</f>
        <v>-2.6827881248566166E-2</v>
      </c>
      <c r="AL104" s="55">
        <f>IFERROR(Inv_SY!W106/Inv_SY!$Z106-1,"")</f>
        <v>-4.5293672538185059E-2</v>
      </c>
      <c r="AM104" s="55">
        <f>IFERROR(Inv_SY!X106/Inv_SY!$Z106-1,"")</f>
        <v>0</v>
      </c>
    </row>
    <row r="105" spans="1:39" x14ac:dyDescent="0.3">
      <c r="A105" s="273">
        <f>YEAR(Table5[[#This Row],[Date]])+IF(MONTH(Table5[[#This Row],[Date]])&gt;=4,1,0)</f>
        <v>2026</v>
      </c>
      <c r="B105" s="273"/>
      <c r="C105" s="273">
        <f>YEAR(Table5[[#This Row],[Date]])</f>
        <v>2025</v>
      </c>
      <c r="D105" s="273"/>
      <c r="E105" s="273"/>
      <c r="F105" s="274" t="str">
        <f>TEXT(Table5[[#This Row],[Date]],"mmm-yy")</f>
        <v>Jul-25</v>
      </c>
      <c r="G105" s="273">
        <f t="shared" si="5"/>
        <v>31</v>
      </c>
      <c r="H105" s="275">
        <f t="shared" si="6"/>
        <v>45848</v>
      </c>
      <c r="I105" s="273">
        <v>8.02</v>
      </c>
      <c r="J105" s="55">
        <f>IFERROR(Inv_SY!J107/Inv_SY!$Y107-1,"")</f>
        <v>0.32888351253497206</v>
      </c>
      <c r="K105" s="55">
        <f>IFERROR(Inv_SY!K107/Inv_SY!$Y107-1,"")</f>
        <v>0.35917588957053415</v>
      </c>
      <c r="L105" s="55">
        <f>IFERROR(Inv_SY!L107/Inv_SY!$Y107-1,"")</f>
        <v>-1</v>
      </c>
      <c r="M105" s="55">
        <f>IFERROR(Inv_SY!M107/Inv_SY!$Y107-1,"")</f>
        <v>0.30843123195580446</v>
      </c>
      <c r="N105" s="55">
        <f>IFERROR(Inv_SY!N107/Inv_SY!$Y107-1,"")</f>
        <v>0.30512876408226552</v>
      </c>
      <c r="O105" s="55">
        <f>IFERROR(Inv_SY!O107/Inv_SY!$Y107-1,"")</f>
        <v>0.32929645286473597</v>
      </c>
      <c r="P105" s="55">
        <f>IFERROR(Inv_SY!P107/Inv_SY!$Y107-1,"")</f>
        <v>0.29688894324927717</v>
      </c>
      <c r="Q105" s="55">
        <f>IFERROR(Inv_SY!Q107/Inv_SY!$Y107-1,"")</f>
        <v>-1</v>
      </c>
      <c r="R105" s="55">
        <f>IFERROR(Inv_SY!R107/Inv_SY!$Y107-1,"")</f>
        <v>1.3173048759989703E-2</v>
      </c>
      <c r="S105" s="55">
        <f>IFERROR(Inv_SY!S107/Inv_SY!$Y107-1,"")</f>
        <v>6.548255572008177E-2</v>
      </c>
      <c r="T105" s="55">
        <f>IFERROR(Inv_SY!T107/Inv_SY!$Y107-1,"")</f>
        <v>3.7363465949180608E-4</v>
      </c>
      <c r="U105" s="55">
        <f>IFERROR(Inv_SY!U107/Inv_SY!$Y107-1,"")</f>
        <v>-5.5775764044914133E-3</v>
      </c>
      <c r="V105" s="55">
        <f>IFERROR(Inv_SY!J107/Inv_SY!$Z107-1,"")</f>
        <v>0.30645486803916522</v>
      </c>
      <c r="W105" s="55">
        <f>IFERROR(Inv_SY!K107/Inv_SY!$Z107-1,"")</f>
        <v>0.33623597606652988</v>
      </c>
      <c r="X105" s="55">
        <f>IFERROR(Inv_SY!L107/Inv_SY!$Z107-1,"")</f>
        <v>-1</v>
      </c>
      <c r="Y105" s="55">
        <f>IFERROR(Inv_SY!M107/Inv_SY!$Z107-1,"")</f>
        <v>0.28634777718197979</v>
      </c>
      <c r="Z105" s="55">
        <f>IFERROR(Inv_SY!N107/Inv_SY!$Z107-1,"")</f>
        <v>0.28310104773637357</v>
      </c>
      <c r="AA105" s="55">
        <f>IFERROR(Inv_SY!O107/Inv_SY!$Z107-1,"")</f>
        <v>0.30686083884017279</v>
      </c>
      <c r="AB105" s="55">
        <f>IFERROR(Inv_SY!P107/Inv_SY!$Z107-1,"")</f>
        <v>0.27500029704040529</v>
      </c>
      <c r="AC105" s="55">
        <f>IFERROR(Inv_SY!Q107/Inv_SY!$Z107-1,"")</f>
        <v>-1</v>
      </c>
      <c r="AD105" s="55">
        <f>IFERROR(Inv_SY!R107/Inv_SY!$Z107-1,"")</f>
        <v>-3.9270942615925453E-3</v>
      </c>
      <c r="AE105" s="55">
        <f>IFERROR(Inv_SY!S107/Inv_SY!$Z107-1,"")</f>
        <v>4.7499542737143186E-2</v>
      </c>
      <c r="AF105" s="55">
        <f>IFERROR(Inv_SY!T107/Inv_SY!$Z107-1,"")</f>
        <v>-1.6510482272589888E-2</v>
      </c>
      <c r="AG105" s="55">
        <f>IFERROR(Inv_SY!U107/Inv_SY!$Z107-1,"")</f>
        <v>-2.2361249922222326E-2</v>
      </c>
      <c r="AH105" s="55">
        <f>IFERROR(Inv_SY!V107/Inv_SY!$Y107-1,"")</f>
        <v>-1.6398775801320653E-3</v>
      </c>
      <c r="AI105" s="55">
        <f>IFERROR(Inv_SY!W107/Inv_SY!$Y107-1,"")</f>
        <v>-1.5527684074308934E-2</v>
      </c>
      <c r="AJ105" s="55">
        <f>IFERROR(Inv_SY!X107/Inv_SY!$Y107-1,"")</f>
        <v>1.7167561654440888E-2</v>
      </c>
      <c r="AK105" s="55">
        <f>IFERROR(Inv_SY!V107/Inv_SY!$Z107-1,"")</f>
        <v>-1.8490010833595916E-2</v>
      </c>
      <c r="AL105" s="55">
        <f>IFERROR(Inv_SY!W107/Inv_SY!$Z107-1,"")</f>
        <v>-3.2143421557378926E-2</v>
      </c>
      <c r="AM105" s="55">
        <f>IFERROR(Inv_SY!X107/Inv_SY!$Z107-1,"")</f>
        <v>0</v>
      </c>
    </row>
    <row r="106" spans="1:39" x14ac:dyDescent="0.3">
      <c r="A106" s="273">
        <f>YEAR(Table5[[#This Row],[Date]])+IF(MONTH(Table5[[#This Row],[Date]])&gt;=4,1,0)</f>
        <v>2026</v>
      </c>
      <c r="B106" s="273"/>
      <c r="C106" s="273">
        <f>YEAR(Table5[[#This Row],[Date]])</f>
        <v>2025</v>
      </c>
      <c r="D106" s="273"/>
      <c r="E106" s="273"/>
      <c r="F106" s="274" t="str">
        <f>TEXT(Table5[[#This Row],[Date]],"mmm-yy")</f>
        <v>Jul-25</v>
      </c>
      <c r="G106" s="273">
        <f t="shared" si="5"/>
        <v>31</v>
      </c>
      <c r="H106" s="275">
        <f t="shared" si="6"/>
        <v>45849</v>
      </c>
      <c r="I106" s="273">
        <v>8.02</v>
      </c>
      <c r="J106" s="55">
        <f>IFERROR(Inv_SY!J108/Inv_SY!$Y108-1,"")</f>
        <v>0.32805664953686509</v>
      </c>
      <c r="K106" s="55">
        <f>IFERROR(Inv_SY!K108/Inv_SY!$Y108-1,"")</f>
        <v>0.32784265394396539</v>
      </c>
      <c r="L106" s="55">
        <f>IFERROR(Inv_SY!L108/Inv_SY!$Y108-1,"")</f>
        <v>-1</v>
      </c>
      <c r="M106" s="55">
        <f>IFERROR(Inv_SY!M108/Inv_SY!$Y108-1,"")</f>
        <v>0.33298534168444904</v>
      </c>
      <c r="N106" s="55">
        <f>IFERROR(Inv_SY!N108/Inv_SY!$Y108-1,"")</f>
        <v>0.29508963448203285</v>
      </c>
      <c r="O106" s="55">
        <f>IFERROR(Inv_SY!O108/Inv_SY!$Y108-1,"")</f>
        <v>0.285954478352338</v>
      </c>
      <c r="P106" s="55">
        <f>IFERROR(Inv_SY!P108/Inv_SY!$Y108-1,"")</f>
        <v>0.32365512269710983</v>
      </c>
      <c r="Q106" s="55">
        <f>IFERROR(Inv_SY!Q108/Inv_SY!$Y108-1,"")</f>
        <v>-1</v>
      </c>
      <c r="R106" s="55">
        <f>IFERROR(Inv_SY!R108/Inv_SY!$Y108-1,"")</f>
        <v>2.4124878803335248E-2</v>
      </c>
      <c r="S106" s="55">
        <f>IFERROR(Inv_SY!S108/Inv_SY!$Y108-1,"")</f>
        <v>4.2820211329859248E-2</v>
      </c>
      <c r="T106" s="55">
        <f>IFERROR(Inv_SY!T108/Inv_SY!$Y108-1,"")</f>
        <v>1.081254453988767E-2</v>
      </c>
      <c r="U106" s="55">
        <f>IFERROR(Inv_SY!U108/Inv_SY!$Y108-1,"")</f>
        <v>2.8722922113988636E-2</v>
      </c>
      <c r="V106" s="55">
        <f>IFERROR(Inv_SY!J108/Inv_SY!$Z108-1,"")</f>
        <v>0.29487663575361678</v>
      </c>
      <c r="W106" s="55">
        <f>IFERROR(Inv_SY!K108/Inv_SY!$Z108-1,"")</f>
        <v>0.29466798660186799</v>
      </c>
      <c r="X106" s="55">
        <f>IFERROR(Inv_SY!L108/Inv_SY!$Z108-1,"")</f>
        <v>-1</v>
      </c>
      <c r="Y106" s="55">
        <f>IFERROR(Inv_SY!M108/Inv_SY!$Z108-1,"")</f>
        <v>0.29968219002643681</v>
      </c>
      <c r="Z106" s="55">
        <f>IFERROR(Inv_SY!N108/Inv_SY!$Z108-1,"")</f>
        <v>0.26273326479129611</v>
      </c>
      <c r="AA106" s="55">
        <f>IFERROR(Inv_SY!O108/Inv_SY!$Z108-1,"")</f>
        <v>0.25382634034614693</v>
      </c>
      <c r="AB106" s="55">
        <f>IFERROR(Inv_SY!P108/Inv_SY!$Z108-1,"")</f>
        <v>0.29058507615152518</v>
      </c>
      <c r="AC106" s="55">
        <f>IFERROR(Inv_SY!Q108/Inv_SY!$Z108-1,"")</f>
        <v>-1</v>
      </c>
      <c r="AD106" s="55">
        <f>IFERROR(Inv_SY!R108/Inv_SY!$Z108-1,"")</f>
        <v>-1.4617387602394727E-3</v>
      </c>
      <c r="AE106" s="55">
        <f>IFERROR(Inv_SY!S108/Inv_SY!$Z108-1,"")</f>
        <v>1.676651173998045E-2</v>
      </c>
      <c r="AF106" s="55">
        <f>IFERROR(Inv_SY!T108/Inv_SY!$Z108-1,"")</f>
        <v>-1.4441479203609719E-2</v>
      </c>
      <c r="AG106" s="55">
        <f>IFERROR(Inv_SY!U108/Inv_SY!$Z108-1,"")</f>
        <v>3.0214275679623093E-3</v>
      </c>
      <c r="AH106" s="55">
        <f>IFERROR(Inv_SY!V108/Inv_SY!$Y108-1,"")</f>
        <v>-3.4315296916562765E-3</v>
      </c>
      <c r="AI106" s="55">
        <f>IFERROR(Inv_SY!W108/Inv_SY!$Y108-1,"")</f>
        <v>-2.2192543573004819E-2</v>
      </c>
      <c r="AJ106" s="55">
        <f>IFERROR(Inv_SY!X108/Inv_SY!$Y108-1,"")</f>
        <v>2.5624073264660874E-2</v>
      </c>
      <c r="AK106" s="55">
        <f>IFERROR(Inv_SY!V108/Inv_SY!$Z108-1,"")</f>
        <v>-2.8329681131440521E-2</v>
      </c>
      <c r="AL106" s="55">
        <f>IFERROR(Inv_SY!W108/Inv_SY!$Z108-1,"")</f>
        <v>-4.6621972011109958E-2</v>
      </c>
      <c r="AM106" s="55">
        <f>IFERROR(Inv_SY!X108/Inv_SY!$Z108-1,"")</f>
        <v>0</v>
      </c>
    </row>
    <row r="107" spans="1:39" x14ac:dyDescent="0.3">
      <c r="A107" s="273">
        <f>YEAR(Table5[[#This Row],[Date]])+IF(MONTH(Table5[[#This Row],[Date]])&gt;=4,1,0)</f>
        <v>2026</v>
      </c>
      <c r="B107" s="273"/>
      <c r="C107" s="273">
        <f>YEAR(Table5[[#This Row],[Date]])</f>
        <v>2025</v>
      </c>
      <c r="D107" s="273"/>
      <c r="E107" s="273"/>
      <c r="F107" s="274" t="str">
        <f>TEXT(Table5[[#This Row],[Date]],"mmm-yy")</f>
        <v>Jul-25</v>
      </c>
      <c r="G107" s="273">
        <f t="shared" si="5"/>
        <v>31</v>
      </c>
      <c r="H107" s="275">
        <f t="shared" si="6"/>
        <v>45850</v>
      </c>
      <c r="I107" s="273">
        <v>8.02</v>
      </c>
      <c r="J107" s="55">
        <f>IFERROR(Inv_SY!J109/Inv_SY!$Y109-1,"")</f>
        <v>0.32316593780572833</v>
      </c>
      <c r="K107" s="55">
        <f>IFERROR(Inv_SY!K109/Inv_SY!$Y109-1,"")</f>
        <v>0.32282262493807634</v>
      </c>
      <c r="L107" s="55">
        <f>IFERROR(Inv_SY!L109/Inv_SY!$Y109-1,"")</f>
        <v>-1</v>
      </c>
      <c r="M107" s="55">
        <f>IFERROR(Inv_SY!M109/Inv_SY!$Y109-1,"")</f>
        <v>0.32945516312548739</v>
      </c>
      <c r="N107" s="55">
        <f>IFERROR(Inv_SY!N109/Inv_SY!$Y109-1,"")</f>
        <v>0.32585928665996899</v>
      </c>
      <c r="O107" s="55">
        <f>IFERROR(Inv_SY!O109/Inv_SY!$Y109-1,"")</f>
        <v>0.29127536164605861</v>
      </c>
      <c r="P107" s="55">
        <f>IFERROR(Inv_SY!P109/Inv_SY!$Y109-1,"")</f>
        <v>0.29302006638330758</v>
      </c>
      <c r="Q107" s="55">
        <f>IFERROR(Inv_SY!Q109/Inv_SY!$Y109-1,"")</f>
        <v>-1</v>
      </c>
      <c r="R107" s="55">
        <f>IFERROR(Inv_SY!R109/Inv_SY!$Y109-1,"")</f>
        <v>4.902257904732199E-2</v>
      </c>
      <c r="S107" s="55">
        <f>IFERROR(Inv_SY!S109/Inv_SY!$Y109-1,"")</f>
        <v>4.6348596713956969E-2</v>
      </c>
      <c r="T107" s="55">
        <f>IFERROR(Inv_SY!T109/Inv_SY!$Y109-1,"")</f>
        <v>1.3150379578458882E-2</v>
      </c>
      <c r="U107" s="55">
        <f>IFERROR(Inv_SY!U109/Inv_SY!$Y109-1,"")</f>
        <v>6.2392922409326701E-3</v>
      </c>
      <c r="V107" s="55">
        <f>IFERROR(Inv_SY!J109/Inv_SY!$Z109-1,"")</f>
        <v>0.28761226001190643</v>
      </c>
      <c r="W107" s="55">
        <f>IFERROR(Inv_SY!K109/Inv_SY!$Z109-1,"")</f>
        <v>0.28727817201524752</v>
      </c>
      <c r="X107" s="55">
        <f>IFERROR(Inv_SY!L109/Inv_SY!$Z109-1,"")</f>
        <v>-1</v>
      </c>
      <c r="Y107" s="55">
        <f>IFERROR(Inv_SY!M109/Inv_SY!$Z109-1,"")</f>
        <v>0.2937324928536984</v>
      </c>
      <c r="Z107" s="55">
        <f>IFERROR(Inv_SY!N109/Inv_SY!$Z109-1,"")</f>
        <v>0.29023323815691549</v>
      </c>
      <c r="AA107" s="55">
        <f>IFERROR(Inv_SY!O109/Inv_SY!$Z109-1,"")</f>
        <v>0.2565785886719909</v>
      </c>
      <c r="AB107" s="55">
        <f>IFERROR(Inv_SY!P109/Inv_SY!$Z109-1,"")</f>
        <v>0.25827641291730652</v>
      </c>
      <c r="AC107" s="55">
        <f>IFERROR(Inv_SY!Q109/Inv_SY!$Z109-1,"")</f>
        <v>-1</v>
      </c>
      <c r="AD107" s="55">
        <f>IFERROR(Inv_SY!R109/Inv_SY!$Z109-1,"")</f>
        <v>2.0835176614832251E-2</v>
      </c>
      <c r="AE107" s="55">
        <f>IFERROR(Inv_SY!S109/Inv_SY!$Z109-1,"")</f>
        <v>1.823304460922337E-2</v>
      </c>
      <c r="AF107" s="55">
        <f>IFERROR(Inv_SY!T109/Inv_SY!$Z109-1,"")</f>
        <v>-1.4073131186907895E-2</v>
      </c>
      <c r="AG107" s="55">
        <f>IFERROR(Inv_SY!U109/Inv_SY!$Z109-1,"")</f>
        <v>-2.0798516515802667E-2</v>
      </c>
      <c r="AH107" s="55">
        <f>IFERROR(Inv_SY!V109/Inv_SY!$Y109-1,"")</f>
        <v>-6.7857067454044628E-3</v>
      </c>
      <c r="AI107" s="55">
        <f>IFERROR(Inv_SY!W109/Inv_SY!$Y109-1,"")</f>
        <v>-2.0826392718057751E-2</v>
      </c>
      <c r="AJ107" s="55">
        <f>IFERROR(Inv_SY!X109/Inv_SY!$Y109-1,"")</f>
        <v>2.7612099463462103E-2</v>
      </c>
      <c r="AK107" s="55">
        <f>IFERROR(Inv_SY!V109/Inv_SY!$Z109-1,"")</f>
        <v>-3.3473531721577077E-2</v>
      </c>
      <c r="AL107" s="55">
        <f>IFERROR(Inv_SY!W109/Inv_SY!$Z109-1,"")</f>
        <v>-4.7136942243878432E-2</v>
      </c>
      <c r="AM107" s="55">
        <f>IFERROR(Inv_SY!X109/Inv_SY!$Z109-1,"")</f>
        <v>0</v>
      </c>
    </row>
    <row r="108" spans="1:39" x14ac:dyDescent="0.3">
      <c r="A108" s="273">
        <f>YEAR(Table5[[#This Row],[Date]])+IF(MONTH(Table5[[#This Row],[Date]])&gt;=4,1,0)</f>
        <v>2026</v>
      </c>
      <c r="B108" s="273"/>
      <c r="C108" s="273">
        <f>YEAR(Table5[[#This Row],[Date]])</f>
        <v>2025</v>
      </c>
      <c r="D108" s="273"/>
      <c r="E108" s="273"/>
      <c r="F108" s="274" t="str">
        <f>TEXT(Table5[[#This Row],[Date]],"mmm-yy")</f>
        <v>Jul-25</v>
      </c>
      <c r="G108" s="273">
        <f t="shared" si="5"/>
        <v>31</v>
      </c>
      <c r="H108" s="275">
        <f t="shared" si="6"/>
        <v>45851</v>
      </c>
      <c r="I108" s="273">
        <v>8.02</v>
      </c>
      <c r="J108" s="55">
        <f>IFERROR(Inv_SY!J110/Inv_SY!$Y110-1,"")</f>
        <v>0.3591920559764703</v>
      </c>
      <c r="K108" s="55">
        <f>IFERROR(Inv_SY!K110/Inv_SY!$Y110-1,"")</f>
        <v>0.33444318447264032</v>
      </c>
      <c r="L108" s="55">
        <f>IFERROR(Inv_SY!L110/Inv_SY!$Y110-1,"")</f>
        <v>-1</v>
      </c>
      <c r="M108" s="55">
        <f>IFERROR(Inv_SY!M110/Inv_SY!$Y110-1,"")</f>
        <v>0.31461862760099035</v>
      </c>
      <c r="N108" s="55">
        <f>IFERROR(Inv_SY!N110/Inv_SY!$Y110-1,"")</f>
        <v>0.33098029372162374</v>
      </c>
      <c r="O108" s="55">
        <f>IFERROR(Inv_SY!O110/Inv_SY!$Y110-1,"")</f>
        <v>0.29752690109275082</v>
      </c>
      <c r="P108" s="55">
        <f>IFERROR(Inv_SY!P110/Inv_SY!$Y110-1,"")</f>
        <v>0.29911289434858479</v>
      </c>
      <c r="Q108" s="55">
        <f>IFERROR(Inv_SY!Q110/Inv_SY!$Y110-1,"")</f>
        <v>-1</v>
      </c>
      <c r="R108" s="55">
        <f>IFERROR(Inv_SY!R110/Inv_SY!$Y110-1,"")</f>
        <v>1.3249617897231891E-2</v>
      </c>
      <c r="S108" s="55">
        <f>IFERROR(Inv_SY!S110/Inv_SY!$Y110-1,"")</f>
        <v>5.7794717261981488E-2</v>
      </c>
      <c r="T108" s="55">
        <f>IFERROR(Inv_SY!T110/Inv_SY!$Y110-1,"")</f>
        <v>3.765659936405541E-4</v>
      </c>
      <c r="U108" s="55">
        <f>IFERROR(Inv_SY!U110/Inv_SY!$Y110-1,"")</f>
        <v>-6.1980415765573449E-3</v>
      </c>
      <c r="V108" s="55">
        <f>IFERROR(Inv_SY!J110/Inv_SY!$Z110-1,"")</f>
        <v>0.33891460067643675</v>
      </c>
      <c r="W108" s="55">
        <f>IFERROR(Inv_SY!K110/Inv_SY!$Z110-1,"")</f>
        <v>0.31453495155986144</v>
      </c>
      <c r="X108" s="55">
        <f>IFERROR(Inv_SY!L110/Inv_SY!$Z110-1,"")</f>
        <v>-1</v>
      </c>
      <c r="Y108" s="55">
        <f>IFERROR(Inv_SY!M110/Inv_SY!$Z110-1,"")</f>
        <v>0.29500615242461103</v>
      </c>
      <c r="Z108" s="55">
        <f>IFERROR(Inv_SY!N110/Inv_SY!$Z110-1,"")</f>
        <v>0.31112372283269485</v>
      </c>
      <c r="AA108" s="55">
        <f>IFERROR(Inv_SY!O110/Inv_SY!$Z110-1,"")</f>
        <v>0.27816941322206334</v>
      </c>
      <c r="AB108" s="55">
        <f>IFERROR(Inv_SY!P110/Inv_SY!$Z110-1,"")</f>
        <v>0.27973174543072599</v>
      </c>
      <c r="AC108" s="55">
        <f>IFERROR(Inv_SY!Q110/Inv_SY!$Z110-1,"")</f>
        <v>-1</v>
      </c>
      <c r="AD108" s="55">
        <f>IFERROR(Inv_SY!R110/Inv_SY!$Z110-1,"")</f>
        <v>-1.8668064111241334E-3</v>
      </c>
      <c r="AE108" s="55">
        <f>IFERROR(Inv_SY!S110/Inv_SY!$Z110-1,"")</f>
        <v>4.201373546358389E-2</v>
      </c>
      <c r="AF108" s="55">
        <f>IFERROR(Inv_SY!T110/Inv_SY!$Z110-1,"")</f>
        <v>-1.4547808388141736E-2</v>
      </c>
      <c r="AG108" s="55">
        <f>IFERROR(Inv_SY!U110/Inv_SY!$Z110-1,"")</f>
        <v>-2.1024330989012463E-2</v>
      </c>
      <c r="AH108" s="55">
        <f>IFERROR(Inv_SY!V110/Inv_SY!$Y110-1,"")</f>
        <v>1.3080498866022694E-3</v>
      </c>
      <c r="AI108" s="55">
        <f>IFERROR(Inv_SY!W110/Inv_SY!$Y110-1,"")</f>
        <v>-1.6452746411525943E-2</v>
      </c>
      <c r="AJ108" s="55">
        <f>IFERROR(Inv_SY!X110/Inv_SY!$Y110-1,"")</f>
        <v>1.514469652492334E-2</v>
      </c>
      <c r="AK108" s="55">
        <f>IFERROR(Inv_SY!V110/Inv_SY!$Z110-1,"")</f>
        <v>-1.3630221076549098E-2</v>
      </c>
      <c r="AL108" s="55">
        <f>IFERROR(Inv_SY!W110/Inv_SY!$Z110-1,"")</f>
        <v>-3.112604837971833E-2</v>
      </c>
      <c r="AM108" s="55">
        <f>IFERROR(Inv_SY!X110/Inv_SY!$Z110-1,"")</f>
        <v>0</v>
      </c>
    </row>
    <row r="109" spans="1:39" x14ac:dyDescent="0.3">
      <c r="A109" s="273">
        <f>YEAR(Table5[[#This Row],[Date]])+IF(MONTH(Table5[[#This Row],[Date]])&gt;=4,1,0)</f>
        <v>2026</v>
      </c>
      <c r="B109" s="273"/>
      <c r="C109" s="273">
        <f>YEAR(Table5[[#This Row],[Date]])</f>
        <v>2025</v>
      </c>
      <c r="D109" s="273"/>
      <c r="E109" s="273"/>
      <c r="F109" s="274" t="str">
        <f>TEXT(Table5[[#This Row],[Date]],"mmm-yy")</f>
        <v>Jul-25</v>
      </c>
      <c r="G109" s="273">
        <f t="shared" ref="G109:G172" si="7">DAY(EOMONTH(F109,0))</f>
        <v>31</v>
      </c>
      <c r="H109" s="275">
        <f t="shared" ref="H109:H172" si="8">H108+1</f>
        <v>45852</v>
      </c>
      <c r="I109" s="273">
        <v>8.02</v>
      </c>
      <c r="J109" s="55">
        <f>IFERROR(Inv_SY!J111/Inv_SY!$Y111-1,"")</f>
        <v>0.3113817669536636</v>
      </c>
      <c r="K109" s="55">
        <f>IFERROR(Inv_SY!K111/Inv_SY!$Y111-1,"")</f>
        <v>0.33884594417675751</v>
      </c>
      <c r="L109" s="55">
        <f>IFERROR(Inv_SY!L111/Inv_SY!$Y111-1,"")</f>
        <v>-1</v>
      </c>
      <c r="M109" s="55">
        <f>IFERROR(Inv_SY!M111/Inv_SY!$Y111-1,"")</f>
        <v>0.29117753635139088</v>
      </c>
      <c r="N109" s="55">
        <f>IFERROR(Inv_SY!N111/Inv_SY!$Y111-1,"")</f>
        <v>0.29689017913983062</v>
      </c>
      <c r="O109" s="55">
        <f>IFERROR(Inv_SY!O111/Inv_SY!$Y111-1,"")</f>
        <v>0.31579886852461447</v>
      </c>
      <c r="P109" s="55">
        <f>IFERROR(Inv_SY!P111/Inv_SY!$Y111-1,"")</f>
        <v>0.29011096537094527</v>
      </c>
      <c r="Q109" s="55">
        <f>IFERROR(Inv_SY!Q111/Inv_SY!$Y111-1,"")</f>
        <v>-1</v>
      </c>
      <c r="R109" s="55">
        <f>IFERROR(Inv_SY!R111/Inv_SY!$Y111-1,"")</f>
        <v>3.682840910430607E-2</v>
      </c>
      <c r="S109" s="55">
        <f>IFERROR(Inv_SY!S111/Inv_SY!$Y111-1,"")</f>
        <v>5.5513750058908462E-2</v>
      </c>
      <c r="T109" s="55">
        <f>IFERROR(Inv_SY!T111/Inv_SY!$Y111-1,"")</f>
        <v>4.9508337807562475E-2</v>
      </c>
      <c r="U109" s="55">
        <f>IFERROR(Inv_SY!U111/Inv_SY!$Y111-1,"")</f>
        <v>1.4449608363622746E-2</v>
      </c>
      <c r="V109" s="55">
        <f>IFERROR(Inv_SY!J111/Inv_SY!$Z111-1,"")</f>
        <v>0.26329357853120405</v>
      </c>
      <c r="W109" s="55">
        <f>IFERROR(Inv_SY!K111/Inv_SY!$Z111-1,"")</f>
        <v>0.28975064816560536</v>
      </c>
      <c r="X109" s="55">
        <f>IFERROR(Inv_SY!L111/Inv_SY!$Z111-1,"")</f>
        <v>-1</v>
      </c>
      <c r="Y109" s="55">
        <f>IFERROR(Inv_SY!M111/Inv_SY!$Z111-1,"")</f>
        <v>0.24383023427691675</v>
      </c>
      <c r="Z109" s="55">
        <f>IFERROR(Inv_SY!N111/Inv_SY!$Z111-1,"")</f>
        <v>0.24933339524265352</v>
      </c>
      <c r="AA109" s="55">
        <f>IFERROR(Inv_SY!O111/Inv_SY!$Z111-1,"")</f>
        <v>0.26754870559711152</v>
      </c>
      <c r="AB109" s="55">
        <f>IFERROR(Inv_SY!P111/Inv_SY!$Z111-1,"")</f>
        <v>0.24280277430713615</v>
      </c>
      <c r="AC109" s="55">
        <f>IFERROR(Inv_SY!Q111/Inv_SY!$Z111-1,"")</f>
        <v>-1</v>
      </c>
      <c r="AD109" s="55">
        <f>IFERROR(Inv_SY!R111/Inv_SY!$Z111-1,"")</f>
        <v>-1.1919455744001661E-3</v>
      </c>
      <c r="AE109" s="55">
        <f>IFERROR(Inv_SY!S111/Inv_SY!$Z111-1,"")</f>
        <v>1.6808206505988688E-2</v>
      </c>
      <c r="AF109" s="55">
        <f>IFERROR(Inv_SY!T111/Inv_SY!$Z111-1,"")</f>
        <v>1.1023011893147805E-2</v>
      </c>
      <c r="AG109" s="55">
        <f>IFERROR(Inv_SY!U111/Inv_SY!$Z111-1,"")</f>
        <v>-2.2750118780215156E-2</v>
      </c>
      <c r="AH109" s="55">
        <f>IFERROR(Inv_SY!V111/Inv_SY!$Y111-1,"")</f>
        <v>-1.5397583646397761E-2</v>
      </c>
      <c r="AI109" s="55">
        <f>IFERROR(Inv_SY!W111/Inv_SY!$Y111-1,"")</f>
        <v>-2.2668143307087218E-2</v>
      </c>
      <c r="AJ109" s="55">
        <f>IFERROR(Inv_SY!X111/Inv_SY!$Y111-1,"")</f>
        <v>3.806572695348498E-2</v>
      </c>
      <c r="AK109" s="55">
        <f>IFERROR(Inv_SY!V111/Inv_SY!$Z111-1,"")</f>
        <v>-5.1502818378164505E-2</v>
      </c>
      <c r="AL109" s="55">
        <f>IFERROR(Inv_SY!W111/Inv_SY!$Z111-1,"")</f>
        <v>-5.8506767619439515E-2</v>
      </c>
      <c r="AM109" s="55">
        <f>IFERROR(Inv_SY!X111/Inv_SY!$Z111-1,"")</f>
        <v>0</v>
      </c>
    </row>
    <row r="110" spans="1:39" x14ac:dyDescent="0.3">
      <c r="A110" s="273">
        <f>YEAR(Table5[[#This Row],[Date]])+IF(MONTH(Table5[[#This Row],[Date]])&gt;=4,1,0)</f>
        <v>2026</v>
      </c>
      <c r="B110" s="273"/>
      <c r="C110" s="273">
        <f>YEAR(Table5[[#This Row],[Date]])</f>
        <v>2025</v>
      </c>
      <c r="D110" s="273"/>
      <c r="E110" s="273"/>
      <c r="F110" s="274" t="str">
        <f>TEXT(Table5[[#This Row],[Date]],"mmm-yy")</f>
        <v>Jul-25</v>
      </c>
      <c r="G110" s="273">
        <f t="shared" si="7"/>
        <v>31</v>
      </c>
      <c r="H110" s="275">
        <f t="shared" si="8"/>
        <v>45853</v>
      </c>
      <c r="I110" s="273">
        <v>8.02</v>
      </c>
      <c r="J110" s="55">
        <f>IFERROR(Inv_SY!J112/Inv_SY!$Y112-1,"")</f>
        <v>0.32689370490364311</v>
      </c>
      <c r="K110" s="55">
        <f>IFERROR(Inv_SY!K112/Inv_SY!$Y112-1,"")</f>
        <v>0.32655755905864381</v>
      </c>
      <c r="L110" s="55">
        <f>IFERROR(Inv_SY!L112/Inv_SY!$Y112-1,"")</f>
        <v>-1</v>
      </c>
      <c r="M110" s="55">
        <f>IFERROR(Inv_SY!M112/Inv_SY!$Y112-1,"")</f>
        <v>0.33229671579717146</v>
      </c>
      <c r="N110" s="55">
        <f>IFERROR(Inv_SY!N112/Inv_SY!$Y112-1,"")</f>
        <v>0.29709864644987349</v>
      </c>
      <c r="O110" s="55">
        <f>IFERROR(Inv_SY!O112/Inv_SY!$Y112-1,"")</f>
        <v>0.2883009933098537</v>
      </c>
      <c r="P110" s="55">
        <f>IFERROR(Inv_SY!P112/Inv_SY!$Y112-1,"")</f>
        <v>0.32665192787168684</v>
      </c>
      <c r="Q110" s="55">
        <f>IFERROR(Inv_SY!Q112/Inv_SY!$Y112-1,"")</f>
        <v>-1</v>
      </c>
      <c r="R110" s="55">
        <f>IFERROR(Inv_SY!R112/Inv_SY!$Y112-1,"")</f>
        <v>2.3372246294251608E-2</v>
      </c>
      <c r="S110" s="55">
        <f>IFERROR(Inv_SY!S112/Inv_SY!$Y112-1,"")</f>
        <v>4.3441900495158503E-2</v>
      </c>
      <c r="T110" s="55">
        <f>IFERROR(Inv_SY!T112/Inv_SY!$Y112-1,"")</f>
        <v>1.0249946554619527E-2</v>
      </c>
      <c r="U110" s="55">
        <f>IFERROR(Inv_SY!U112/Inv_SY!$Y112-1,"")</f>
        <v>2.5227032337762134E-2</v>
      </c>
      <c r="V110" s="55">
        <f>IFERROR(Inv_SY!J112/Inv_SY!$Z112-1,"")</f>
        <v>0.29507990135281137</v>
      </c>
      <c r="W110" s="55">
        <f>IFERROR(Inv_SY!K112/Inv_SY!$Z112-1,"")</f>
        <v>0.29475181499127912</v>
      </c>
      <c r="X110" s="55">
        <f>IFERROR(Inv_SY!L112/Inv_SY!$Z112-1,"")</f>
        <v>-1</v>
      </c>
      <c r="Y110" s="55">
        <f>IFERROR(Inv_SY!M112/Inv_SY!$Z112-1,"")</f>
        <v>0.30035336884243757</v>
      </c>
      <c r="Z110" s="55">
        <f>IFERROR(Inv_SY!N112/Inv_SY!$Z112-1,"")</f>
        <v>0.26599921371332091</v>
      </c>
      <c r="AA110" s="55">
        <f>IFERROR(Inv_SY!O112/Inv_SY!$Z112-1,"")</f>
        <v>0.25741249443158276</v>
      </c>
      <c r="AB110" s="55">
        <f>IFERROR(Inv_SY!P112/Inv_SY!$Z112-1,"")</f>
        <v>0.29484392120343084</v>
      </c>
      <c r="AC110" s="55">
        <f>IFERROR(Inv_SY!Q112/Inv_SY!$Z112-1,"")</f>
        <v>-1</v>
      </c>
      <c r="AD110" s="55">
        <f>IFERROR(Inv_SY!R112/Inv_SY!$Z112-1,"")</f>
        <v>-1.1642809970153767E-3</v>
      </c>
      <c r="AE110" s="55">
        <f>IFERROR(Inv_SY!S112/Inv_SY!$Z112-1,"")</f>
        <v>1.8424180148471025E-2</v>
      </c>
      <c r="AF110" s="55">
        <f>IFERROR(Inv_SY!T112/Inv_SY!$Z112-1,"")</f>
        <v>-1.3971958499380821E-2</v>
      </c>
      <c r="AG110" s="55">
        <f>IFERROR(Inv_SY!U112/Inv_SY!$Z112-1,"")</f>
        <v>6.4603441663302341E-4</v>
      </c>
      <c r="AH110" s="55">
        <f>IFERROR(Inv_SY!V112/Inv_SY!$Y112-1,"")</f>
        <v>-4.2137416397451943E-3</v>
      </c>
      <c r="AI110" s="55">
        <f>IFERROR(Inv_SY!W112/Inv_SY!$Y112-1,"")</f>
        <v>-2.0351386363245072E-2</v>
      </c>
      <c r="AJ110" s="55">
        <f>IFERROR(Inv_SY!X112/Inv_SY!$Y112-1,"")</f>
        <v>2.4565128002990155E-2</v>
      </c>
      <c r="AK110" s="55">
        <f>IFERROR(Inv_SY!V112/Inv_SY!$Z112-1,"")</f>
        <v>-2.8088863124620556E-2</v>
      </c>
      <c r="AL110" s="55">
        <f>IFERROR(Inv_SY!W112/Inv_SY!$Z112-1,"")</f>
        <v>-4.3839589244837218E-2</v>
      </c>
      <c r="AM110" s="55">
        <f>IFERROR(Inv_SY!X112/Inv_SY!$Z112-1,"")</f>
        <v>0</v>
      </c>
    </row>
    <row r="111" spans="1:39" x14ac:dyDescent="0.3">
      <c r="A111" s="273">
        <f>YEAR(Table5[[#This Row],[Date]])+IF(MONTH(Table5[[#This Row],[Date]])&gt;=4,1,0)</f>
        <v>2026</v>
      </c>
      <c r="B111" s="273"/>
      <c r="C111" s="273">
        <f>YEAR(Table5[[#This Row],[Date]])</f>
        <v>2025</v>
      </c>
      <c r="D111" s="273"/>
      <c r="E111" s="273"/>
      <c r="F111" s="274" t="str">
        <f>TEXT(Table5[[#This Row],[Date]],"mmm-yy")</f>
        <v>Jul-25</v>
      </c>
      <c r="G111" s="273">
        <f t="shared" si="7"/>
        <v>31</v>
      </c>
      <c r="H111" s="275">
        <f t="shared" si="8"/>
        <v>45854</v>
      </c>
      <c r="I111" s="273">
        <v>8.02</v>
      </c>
      <c r="J111" s="55">
        <f>IFERROR(Inv_SY!J113/Inv_SY!$Y113-1,"")</f>
        <v>0.32649619022986109</v>
      </c>
      <c r="K111" s="55">
        <f>IFERROR(Inv_SY!K113/Inv_SY!$Y113-1,"")</f>
        <v>0.32626348520847714</v>
      </c>
      <c r="L111" s="55">
        <f>IFERROR(Inv_SY!L113/Inv_SY!$Y113-1,"")</f>
        <v>-1</v>
      </c>
      <c r="M111" s="55">
        <f>IFERROR(Inv_SY!M113/Inv_SY!$Y113-1,"")</f>
        <v>0.33357091537733807</v>
      </c>
      <c r="N111" s="55">
        <f>IFERROR(Inv_SY!N113/Inv_SY!$Y113-1,"")</f>
        <v>0.33385373806444285</v>
      </c>
      <c r="O111" s="55">
        <f>IFERROR(Inv_SY!O113/Inv_SY!$Y113-1,"")</f>
        <v>0.29431550183550326</v>
      </c>
      <c r="P111" s="55">
        <f>IFERROR(Inv_SY!P113/Inv_SY!$Y113-1,"")</f>
        <v>0.29636534060310504</v>
      </c>
      <c r="Q111" s="55">
        <f>IFERROR(Inv_SY!Q113/Inv_SY!$Y113-1,"")</f>
        <v>-1</v>
      </c>
      <c r="R111" s="55">
        <f>IFERROR(Inv_SY!R113/Inv_SY!$Y113-1,"")</f>
        <v>4.5699795423250533E-2</v>
      </c>
      <c r="S111" s="55">
        <f>IFERROR(Inv_SY!S113/Inv_SY!$Y113-1,"")</f>
        <v>3.8410371770586593E-2</v>
      </c>
      <c r="T111" s="55">
        <f>IFERROR(Inv_SY!T113/Inv_SY!$Y113-1,"")</f>
        <v>5.968162373229724E-3</v>
      </c>
      <c r="U111" s="55">
        <f>IFERROR(Inv_SY!U113/Inv_SY!$Y113-1,"")</f>
        <v>-6.3849209835820098E-4</v>
      </c>
      <c r="V111" s="55">
        <f>IFERROR(Inv_SY!J113/Inv_SY!$Z113-1,"")</f>
        <v>0.29884473243250631</v>
      </c>
      <c r="W111" s="55">
        <f>IFERROR(Inv_SY!K113/Inv_SY!$Z113-1,"")</f>
        <v>0.29861687826039396</v>
      </c>
      <c r="X111" s="55">
        <f>IFERROR(Inv_SY!L113/Inv_SY!$Z113-1,"")</f>
        <v>-1</v>
      </c>
      <c r="Y111" s="55">
        <f>IFERROR(Inv_SY!M113/Inv_SY!$Z113-1,"")</f>
        <v>0.30577198149578177</v>
      </c>
      <c r="Z111" s="55">
        <f>IFERROR(Inv_SY!N113/Inv_SY!$Z113-1,"")</f>
        <v>0.30604890860651479</v>
      </c>
      <c r="AA111" s="55">
        <f>IFERROR(Inv_SY!O113/Inv_SY!$Z113-1,"")</f>
        <v>0.26733486612838941</v>
      </c>
      <c r="AB111" s="55">
        <f>IFERROR(Inv_SY!P113/Inv_SY!$Z113-1,"")</f>
        <v>0.26934197501060519</v>
      </c>
      <c r="AC111" s="55">
        <f>IFERROR(Inv_SY!Q113/Inv_SY!$Z113-1,"")</f>
        <v>-1</v>
      </c>
      <c r="AD111" s="55">
        <f>IFERROR(Inv_SY!R113/Inv_SY!$Z113-1,"")</f>
        <v>2.3901674950068008E-2</v>
      </c>
      <c r="AE111" s="55">
        <f>IFERROR(Inv_SY!S113/Inv_SY!$Z113-1,"")</f>
        <v>1.676420287629532E-2</v>
      </c>
      <c r="AF111" s="55">
        <f>IFERROR(Inv_SY!T113/Inv_SY!$Z113-1,"")</f>
        <v>-1.5001732898407449E-2</v>
      </c>
      <c r="AG111" s="55">
        <f>IFERROR(Inv_SY!U113/Inv_SY!$Z113-1,"")</f>
        <v>-2.1470668446527341E-2</v>
      </c>
      <c r="AH111" s="55">
        <f>IFERROR(Inv_SY!V113/Inv_SY!$Y113-1,"")</f>
        <v>-4.0638575312655911E-3</v>
      </c>
      <c r="AI111" s="55">
        <f>IFERROR(Inv_SY!W113/Inv_SY!$Y113-1,"")</f>
        <v>-1.7225413700999725E-2</v>
      </c>
      <c r="AJ111" s="55">
        <f>IFERROR(Inv_SY!X113/Inv_SY!$Y113-1,"")</f>
        <v>2.1289271232265206E-2</v>
      </c>
      <c r="AK111" s="55">
        <f>IFERROR(Inv_SY!V113/Inv_SY!$Z113-1,"")</f>
        <v>-2.4824630472168097E-2</v>
      </c>
      <c r="AL111" s="55">
        <f>IFERROR(Inv_SY!W113/Inv_SY!$Z113-1,"")</f>
        <v>-3.7711827606681902E-2</v>
      </c>
      <c r="AM111" s="55">
        <f>IFERROR(Inv_SY!X113/Inv_SY!$Z113-1,"")</f>
        <v>0</v>
      </c>
    </row>
    <row r="112" spans="1:39" x14ac:dyDescent="0.3">
      <c r="A112" s="273">
        <f>YEAR(Table5[[#This Row],[Date]])+IF(MONTH(Table5[[#This Row],[Date]])&gt;=4,1,0)</f>
        <v>2026</v>
      </c>
      <c r="B112" s="273"/>
      <c r="C112" s="273">
        <f>YEAR(Table5[[#This Row],[Date]])</f>
        <v>2025</v>
      </c>
      <c r="D112" s="273"/>
      <c r="E112" s="273"/>
      <c r="F112" s="274" t="str">
        <f>TEXT(Table5[[#This Row],[Date]],"mmm-yy")</f>
        <v>Jul-25</v>
      </c>
      <c r="G112" s="273">
        <f t="shared" si="7"/>
        <v>31</v>
      </c>
      <c r="H112" s="275">
        <f t="shared" si="8"/>
        <v>45855</v>
      </c>
      <c r="I112" s="273">
        <v>8.02</v>
      </c>
      <c r="J112" s="55">
        <f>IFERROR(Inv_SY!J114/Inv_SY!$Y114-1,"")</f>
        <v>0.38512721989076559</v>
      </c>
      <c r="K112" s="55">
        <f>IFERROR(Inv_SY!K114/Inv_SY!$Y114-1,"")</f>
        <v>0.33512075311394751</v>
      </c>
      <c r="L112" s="55">
        <f>IFERROR(Inv_SY!L114/Inv_SY!$Y114-1,"")</f>
        <v>-1</v>
      </c>
      <c r="M112" s="55">
        <f>IFERROR(Inv_SY!M114/Inv_SY!$Y114-1,"")</f>
        <v>0.31591503260271403</v>
      </c>
      <c r="N112" s="55">
        <f>IFERROR(Inv_SY!N114/Inv_SY!$Y114-1,"")</f>
        <v>0.3654497078350174</v>
      </c>
      <c r="O112" s="55">
        <f>IFERROR(Inv_SY!O114/Inv_SY!$Y114-1,"")</f>
        <v>0.30495064813702077</v>
      </c>
      <c r="P112" s="55">
        <f>IFERROR(Inv_SY!P114/Inv_SY!$Y114-1,"")</f>
        <v>0.30536100997605753</v>
      </c>
      <c r="Q112" s="55">
        <f>IFERROR(Inv_SY!Q114/Inv_SY!$Y114-1,"")</f>
        <v>-1</v>
      </c>
      <c r="R112" s="55">
        <f>IFERROR(Inv_SY!R114/Inv_SY!$Y114-1,"")</f>
        <v>-1.1767825623757999E-2</v>
      </c>
      <c r="S112" s="55">
        <f>IFERROR(Inv_SY!S114/Inv_SY!$Y114-1,"")</f>
        <v>5.6743166932786915E-2</v>
      </c>
      <c r="T112" s="55">
        <f>IFERROR(Inv_SY!T114/Inv_SY!$Y114-1,"")</f>
        <v>-2.4822555946109048E-2</v>
      </c>
      <c r="U112" s="55">
        <f>IFERROR(Inv_SY!U114/Inv_SY!$Y114-1,"")</f>
        <v>-3.0558559781030947E-2</v>
      </c>
      <c r="V112" s="55">
        <f>IFERROR(Inv_SY!J114/Inv_SY!$Z114-1,"")</f>
        <v>0.37379535530827779</v>
      </c>
      <c r="W112" s="55">
        <f>IFERROR(Inv_SY!K114/Inv_SY!$Z114-1,"")</f>
        <v>0.32419799644705471</v>
      </c>
      <c r="X112" s="55">
        <f>IFERROR(Inv_SY!L114/Inv_SY!$Z114-1,"")</f>
        <v>-1</v>
      </c>
      <c r="Y112" s="55">
        <f>IFERROR(Inv_SY!M114/Inv_SY!$Z114-1,"")</f>
        <v>0.30514939985983136</v>
      </c>
      <c r="Z112" s="55">
        <f>IFERROR(Inv_SY!N114/Inv_SY!$Z114-1,"")</f>
        <v>0.35427882695044133</v>
      </c>
      <c r="AA112" s="55">
        <f>IFERROR(Inv_SY!O114/Inv_SY!$Z114-1,"")</f>
        <v>0.29427471612213729</v>
      </c>
      <c r="AB112" s="55">
        <f>IFERROR(Inv_SY!P114/Inv_SY!$Z114-1,"")</f>
        <v>0.29468172074984866</v>
      </c>
      <c r="AC112" s="55">
        <f>IFERROR(Inv_SY!Q114/Inv_SY!$Z114-1,"")</f>
        <v>-1</v>
      </c>
      <c r="AD112" s="55">
        <f>IFERROR(Inv_SY!R114/Inv_SY!$Z114-1,"")</f>
        <v>-1.9852652068055421E-2</v>
      </c>
      <c r="AE112" s="55">
        <f>IFERROR(Inv_SY!S114/Inv_SY!$Z114-1,"")</f>
        <v>4.8097845193245892E-2</v>
      </c>
      <c r="AF112" s="55">
        <f>IFERROR(Inv_SY!T114/Inv_SY!$Z114-1,"")</f>
        <v>-3.2800580333491203E-2</v>
      </c>
      <c r="AG112" s="55">
        <f>IFERROR(Inv_SY!U114/Inv_SY!$Z114-1,"")</f>
        <v>-3.848965734626375E-2</v>
      </c>
      <c r="AH112" s="55">
        <f>IFERROR(Inv_SY!V114/Inv_SY!$Y114-1,"")</f>
        <v>8.2485826864255873E-3</v>
      </c>
      <c r="AI112" s="55">
        <f>IFERROR(Inv_SY!W114/Inv_SY!$Y114-1,"")</f>
        <v>-4.3972982033582131E-3</v>
      </c>
      <c r="AJ112" s="55">
        <f>IFERROR(Inv_SY!X114/Inv_SY!$Y114-1,"")</f>
        <v>-3.8512844830678183E-3</v>
      </c>
      <c r="AK112" s="55">
        <f>IFERROR(Inv_SY!V114/Inv_SY!$Z114-1,"")</f>
        <v>0</v>
      </c>
      <c r="AL112" s="55">
        <f>IFERROR(Inv_SY!W114/Inv_SY!$Z114-1,"")</f>
        <v>-1.2542423671044967E-2</v>
      </c>
      <c r="AM112" s="55">
        <f>IFERROR(Inv_SY!X114/Inv_SY!$Z114-1,"")</f>
        <v>-1.2000876943713545E-2</v>
      </c>
    </row>
    <row r="113" spans="1:39" x14ac:dyDescent="0.3">
      <c r="A113" s="273">
        <f>YEAR(Table5[[#This Row],[Date]])+IF(MONTH(Table5[[#This Row],[Date]])&gt;=4,1,0)</f>
        <v>2026</v>
      </c>
      <c r="B113" s="273"/>
      <c r="C113" s="273">
        <f>YEAR(Table5[[#This Row],[Date]])</f>
        <v>2025</v>
      </c>
      <c r="D113" s="273"/>
      <c r="E113" s="273"/>
      <c r="F113" s="274" t="str">
        <f>TEXT(Table5[[#This Row],[Date]],"mmm-yy")</f>
        <v>Jul-25</v>
      </c>
      <c r="G113" s="273">
        <f t="shared" si="7"/>
        <v>31</v>
      </c>
      <c r="H113" s="275">
        <f t="shared" si="8"/>
        <v>45856</v>
      </c>
      <c r="I113" s="273">
        <v>8.02</v>
      </c>
      <c r="J113" s="55">
        <f>IFERROR(Inv_SY!J115/Inv_SY!$Y115-1,"")</f>
        <v>0.32434258336685473</v>
      </c>
      <c r="K113" s="55">
        <f>IFERROR(Inv_SY!K115/Inv_SY!$Y115-1,"")</f>
        <v>0.35660758728722852</v>
      </c>
      <c r="L113" s="55">
        <f>IFERROR(Inv_SY!L115/Inv_SY!$Y115-1,"")</f>
        <v>-1</v>
      </c>
      <c r="M113" s="55">
        <f>IFERROR(Inv_SY!M115/Inv_SY!$Y115-1,"")</f>
        <v>0.30538497397329789</v>
      </c>
      <c r="N113" s="55">
        <f>IFERROR(Inv_SY!N115/Inv_SY!$Y115-1,"")</f>
        <v>0.3128232183330264</v>
      </c>
      <c r="O113" s="55">
        <f>IFERROR(Inv_SY!O115/Inv_SY!$Y115-1,"")</f>
        <v>0.34111222871995306</v>
      </c>
      <c r="P113" s="55">
        <f>IFERROR(Inv_SY!P115/Inv_SY!$Y115-1,"")</f>
        <v>0.30560564547745783</v>
      </c>
      <c r="Q113" s="55">
        <f>IFERROR(Inv_SY!Q115/Inv_SY!$Y115-1,"")</f>
        <v>-1</v>
      </c>
      <c r="R113" s="55">
        <f>IFERROR(Inv_SY!R115/Inv_SY!$Y115-1,"")</f>
        <v>9.0179001045487261E-3</v>
      </c>
      <c r="S113" s="55">
        <f>IFERROR(Inv_SY!S115/Inv_SY!$Y115-1,"")</f>
        <v>2.8373011434576156E-2</v>
      </c>
      <c r="T113" s="55">
        <f>IFERROR(Inv_SY!T115/Inv_SY!$Y115-1,"")</f>
        <v>2.7234983707749683E-2</v>
      </c>
      <c r="U113" s="55">
        <f>IFERROR(Inv_SY!U115/Inv_SY!$Y115-1,"")</f>
        <v>-1.0212869969673188E-2</v>
      </c>
      <c r="V113" s="55">
        <f>IFERROR(Inv_SY!J115/Inv_SY!$Z115-1,"")</f>
        <v>0.3078185002858107</v>
      </c>
      <c r="W113" s="55">
        <f>IFERROR(Inv_SY!K115/Inv_SY!$Z115-1,"")</f>
        <v>0.33968092740159772</v>
      </c>
      <c r="X113" s="55">
        <f>IFERROR(Inv_SY!L115/Inv_SY!$Z115-1,"")</f>
        <v>-1</v>
      </c>
      <c r="Y113" s="55">
        <f>IFERROR(Inv_SY!M115/Inv_SY!$Z115-1,"")</f>
        <v>0.28909742871605548</v>
      </c>
      <c r="Z113" s="55">
        <f>IFERROR(Inv_SY!N115/Inv_SY!$Z115-1,"")</f>
        <v>0.2964428646368491</v>
      </c>
      <c r="AA113" s="55">
        <f>IFERROR(Inv_SY!O115/Inv_SY!$Z115-1,"")</f>
        <v>0.32437890747309428</v>
      </c>
      <c r="AB113" s="55">
        <f>IFERROR(Inv_SY!P115/Inv_SY!$Z115-1,"")</f>
        <v>0.28931534685842353</v>
      </c>
      <c r="AC113" s="55">
        <f>IFERROR(Inv_SY!Q115/Inv_SY!$Z115-1,"")</f>
        <v>-1</v>
      </c>
      <c r="AD113" s="55">
        <f>IFERROR(Inv_SY!R115/Inv_SY!$Z115-1,"")</f>
        <v>-3.571814838544185E-3</v>
      </c>
      <c r="AE113" s="55">
        <f>IFERROR(Inv_SY!S115/Inv_SY!$Z115-1,"")</f>
        <v>1.5541798957780628E-2</v>
      </c>
      <c r="AF113" s="55">
        <f>IFERROR(Inv_SY!T115/Inv_SY!$Z115-1,"")</f>
        <v>1.4417970626898091E-2</v>
      </c>
      <c r="AG113" s="55">
        <f>IFERROR(Inv_SY!U115/Inv_SY!$Z115-1,"")</f>
        <v>-2.2562638809386137E-2</v>
      </c>
      <c r="AH113" s="55">
        <f>IFERROR(Inv_SY!V115/Inv_SY!$Y115-1,"")</f>
        <v>-4.1756956277717583E-3</v>
      </c>
      <c r="AI113" s="55">
        <f>IFERROR(Inv_SY!W115/Inv_SY!$Y115-1,"")</f>
        <v>-8.4591486395576565E-3</v>
      </c>
      <c r="AJ113" s="55">
        <f>IFERROR(Inv_SY!X115/Inv_SY!$Y115-1,"")</f>
        <v>1.2634844267329637E-2</v>
      </c>
      <c r="AK113" s="55">
        <f>IFERROR(Inv_SY!V115/Inv_SY!$Z115-1,"")</f>
        <v>-1.6600791480036792E-2</v>
      </c>
      <c r="AL113" s="55">
        <f>IFERROR(Inv_SY!W115/Inv_SY!$Z115-1,"")</f>
        <v>-2.0830799005488898E-2</v>
      </c>
      <c r="AM113" s="55">
        <f>IFERROR(Inv_SY!X115/Inv_SY!$Z115-1,"")</f>
        <v>0</v>
      </c>
    </row>
    <row r="114" spans="1:39" x14ac:dyDescent="0.3">
      <c r="A114" s="273">
        <f>YEAR(Table5[[#This Row],[Date]])+IF(MONTH(Table5[[#This Row],[Date]])&gt;=4,1,0)</f>
        <v>2026</v>
      </c>
      <c r="B114" s="273"/>
      <c r="C114" s="273">
        <f>YEAR(Table5[[#This Row],[Date]])</f>
        <v>2025</v>
      </c>
      <c r="D114" s="273"/>
      <c r="E114" s="273"/>
      <c r="F114" s="274" t="str">
        <f>TEXT(Table5[[#This Row],[Date]],"mmm-yy")</f>
        <v>Jul-25</v>
      </c>
      <c r="G114" s="273">
        <f t="shared" si="7"/>
        <v>31</v>
      </c>
      <c r="H114" s="275">
        <f t="shared" si="8"/>
        <v>45857</v>
      </c>
      <c r="I114" s="273">
        <v>8.02</v>
      </c>
      <c r="J114" s="55">
        <f>IFERROR(Inv_SY!J116/Inv_SY!$Y116-1,"")</f>
        <v>0.29366497218358778</v>
      </c>
      <c r="K114" s="55">
        <f>IFERROR(Inv_SY!K116/Inv_SY!$Y116-1,"")</f>
        <v>0.29391876136477491</v>
      </c>
      <c r="L114" s="55">
        <f>IFERROR(Inv_SY!L116/Inv_SY!$Y116-1,"")</f>
        <v>-1</v>
      </c>
      <c r="M114" s="55">
        <f>IFERROR(Inv_SY!M116/Inv_SY!$Y116-1,"")</f>
        <v>0.27497883732874828</v>
      </c>
      <c r="N114" s="55">
        <f>IFERROR(Inv_SY!N116/Inv_SY!$Y116-1,"")</f>
        <v>0.31404715576778552</v>
      </c>
      <c r="O114" s="55">
        <f>IFERROR(Inv_SY!O116/Inv_SY!$Y116-1,"")</f>
        <v>0.30527686734249704</v>
      </c>
      <c r="P114" s="55">
        <f>IFERROR(Inv_SY!P116/Inv_SY!$Y116-1,"")</f>
        <v>0.33808806403945857</v>
      </c>
      <c r="Q114" s="55">
        <f>IFERROR(Inv_SY!Q116/Inv_SY!$Y116-1,"")</f>
        <v>-1</v>
      </c>
      <c r="R114" s="55">
        <f>IFERROR(Inv_SY!R116/Inv_SY!$Y116-1,"")</f>
        <v>4.1035060806025481E-2</v>
      </c>
      <c r="S114" s="55">
        <f>IFERROR(Inv_SY!S116/Inv_SY!$Y116-1,"")</f>
        <v>6.1735121514632452E-2</v>
      </c>
      <c r="T114" s="55">
        <f>IFERROR(Inv_SY!T116/Inv_SY!$Y116-1,"")</f>
        <v>2.8059802017805113E-2</v>
      </c>
      <c r="U114" s="55">
        <f>IFERROR(Inv_SY!U116/Inv_SY!$Y116-1,"")</f>
        <v>4.940066421817435E-2</v>
      </c>
      <c r="V114" s="55">
        <f>IFERROR(Inv_SY!J116/Inv_SY!$Z116-1,"")</f>
        <v>0.23908695065544339</v>
      </c>
      <c r="W114" s="55">
        <f>IFERROR(Inv_SY!K116/Inv_SY!$Z116-1,"")</f>
        <v>0.23933003280529541</v>
      </c>
      <c r="X114" s="55">
        <f>IFERROR(Inv_SY!L116/Inv_SY!$Z116-1,"")</f>
        <v>-1</v>
      </c>
      <c r="Y114" s="55">
        <f>IFERROR(Inv_SY!M116/Inv_SY!$Z116-1,"")</f>
        <v>0.22118915922205695</v>
      </c>
      <c r="Z114" s="55">
        <f>IFERROR(Inv_SY!N116/Inv_SY!$Z116-1,"")</f>
        <v>0.25860923675585035</v>
      </c>
      <c r="AA114" s="55">
        <f>IFERROR(Inv_SY!O116/Inv_SY!$Z116-1,"")</f>
        <v>0.25020895524949038</v>
      </c>
      <c r="AB114" s="55">
        <f>IFERROR(Inv_SY!P116/Inv_SY!$Z116-1,"")</f>
        <v>0.2816358907674017</v>
      </c>
      <c r="AC114" s="55">
        <f>IFERROR(Inv_SY!Q116/Inv_SY!$Z116-1,"")</f>
        <v>-1</v>
      </c>
      <c r="AD114" s="55">
        <f>IFERROR(Inv_SY!R116/Inv_SY!$Z116-1,"")</f>
        <v>-2.8848374535072052E-3</v>
      </c>
      <c r="AE114" s="55">
        <f>IFERROR(Inv_SY!S116/Inv_SY!$Z116-1,"")</f>
        <v>1.694191495404751E-2</v>
      </c>
      <c r="AF114" s="55">
        <f>IFERROR(Inv_SY!T116/Inv_SY!$Z116-1,"")</f>
        <v>-1.5312687160780381E-2</v>
      </c>
      <c r="AG114" s="55">
        <f>IFERROR(Inv_SY!U116/Inv_SY!$Z116-1,"")</f>
        <v>5.1278321674812499E-3</v>
      </c>
      <c r="AH114" s="55">
        <f>IFERROR(Inv_SY!V116/Inv_SY!$Y116-1,"")</f>
        <v>-3.5054676426013454E-2</v>
      </c>
      <c r="AI114" s="55">
        <f>IFERROR(Inv_SY!W116/Inv_SY!$Y116-1,"")</f>
        <v>-8.9922901724763804E-3</v>
      </c>
      <c r="AJ114" s="55">
        <f>IFERROR(Inv_SY!X116/Inv_SY!$Y116-1,"")</f>
        <v>4.4046966598489501E-2</v>
      </c>
      <c r="AK114" s="55">
        <f>IFERROR(Inv_SY!V116/Inv_SY!$Z116-1,"")</f>
        <v>-7.5764448875529466E-2</v>
      </c>
      <c r="AL114" s="55">
        <f>IFERROR(Inv_SY!W116/Inv_SY!$Z116-1,"")</f>
        <v>-5.080160037605197E-2</v>
      </c>
      <c r="AM114" s="55">
        <f>IFERROR(Inv_SY!X116/Inv_SY!$Z116-1,"")</f>
        <v>0</v>
      </c>
    </row>
    <row r="115" spans="1:39" x14ac:dyDescent="0.3">
      <c r="A115" s="273">
        <f>YEAR(Table5[[#This Row],[Date]])+IF(MONTH(Table5[[#This Row],[Date]])&gt;=4,1,0)</f>
        <v>2026</v>
      </c>
      <c r="B115" s="273"/>
      <c r="C115" s="273">
        <f>YEAR(Table5[[#This Row],[Date]])</f>
        <v>2025</v>
      </c>
      <c r="D115" s="273"/>
      <c r="E115" s="273"/>
      <c r="F115" s="274" t="str">
        <f>TEXT(Table5[[#This Row],[Date]],"mmm-yy")</f>
        <v>Jul-25</v>
      </c>
      <c r="G115" s="273">
        <f t="shared" si="7"/>
        <v>31</v>
      </c>
      <c r="H115" s="275">
        <f t="shared" si="8"/>
        <v>45858</v>
      </c>
      <c r="I115" s="273">
        <v>8.02</v>
      </c>
      <c r="J115" s="55">
        <f>IFERROR(Inv_SY!J117/Inv_SY!$Y117-1,"")</f>
        <v>0.37029975847980223</v>
      </c>
      <c r="K115" s="55">
        <f>IFERROR(Inv_SY!K117/Inv_SY!$Y117-1,"")</f>
        <v>0.32497605171818811</v>
      </c>
      <c r="L115" s="55">
        <f>IFERROR(Inv_SY!L117/Inv_SY!$Y117-1,"")</f>
        <v>-1</v>
      </c>
      <c r="M115" s="55">
        <f>IFERROR(Inv_SY!M117/Inv_SY!$Y117-1,"")</f>
        <v>0.30513669682495781</v>
      </c>
      <c r="N115" s="55">
        <f>IFERROR(Inv_SY!N117/Inv_SY!$Y117-1,"")</f>
        <v>0.3369276492940072</v>
      </c>
      <c r="O115" s="55">
        <f>IFERROR(Inv_SY!O117/Inv_SY!$Y117-1,"")</f>
        <v>0.28220356491179599</v>
      </c>
      <c r="P115" s="55">
        <f>IFERROR(Inv_SY!P117/Inv_SY!$Y117-1,"")</f>
        <v>0.28454661351742061</v>
      </c>
      <c r="Q115" s="55">
        <f>IFERROR(Inv_SY!Q117/Inv_SY!$Y117-1,"")</f>
        <v>-1</v>
      </c>
      <c r="R115" s="55">
        <f>IFERROR(Inv_SY!R117/Inv_SY!$Y117-1,"")</f>
        <v>6.1604434143210263E-2</v>
      </c>
      <c r="S115" s="55">
        <f>IFERROR(Inv_SY!S117/Inv_SY!$Y117-1,"")</f>
        <v>3.5874666526080956E-2</v>
      </c>
      <c r="T115" s="55">
        <f>IFERROR(Inv_SY!T117/Inv_SY!$Y117-1,"")</f>
        <v>2.8965341189783889E-3</v>
      </c>
      <c r="U115" s="55">
        <f>IFERROR(Inv_SY!U117/Inv_SY!$Y117-1,"")</f>
        <v>-3.5283439383282378E-3</v>
      </c>
      <c r="V115" s="55">
        <f>IFERROR(Inv_SY!J117/Inv_SY!$Z117-1,"")</f>
        <v>0.33932540604248196</v>
      </c>
      <c r="W115" s="55">
        <f>IFERROR(Inv_SY!K117/Inv_SY!$Z117-1,"")</f>
        <v>0.29502619954682241</v>
      </c>
      <c r="X115" s="55">
        <f>IFERROR(Inv_SY!L117/Inv_SY!$Z117-1,"")</f>
        <v>-1</v>
      </c>
      <c r="Y115" s="55">
        <f>IFERROR(Inv_SY!M117/Inv_SY!$Z117-1,"")</f>
        <v>0.27563529483158367</v>
      </c>
      <c r="Z115" s="55">
        <f>IFERROR(Inv_SY!N117/Inv_SY!$Z117-1,"")</f>
        <v>0.30670764236766068</v>
      </c>
      <c r="AA115" s="55">
        <f>IFERROR(Inv_SY!O117/Inv_SY!$Z117-1,"")</f>
        <v>0.25322054505048763</v>
      </c>
      <c r="AB115" s="55">
        <f>IFERROR(Inv_SY!P117/Inv_SY!$Z117-1,"")</f>
        <v>0.25551063122009077</v>
      </c>
      <c r="AC115" s="55">
        <f>IFERROR(Inv_SY!Q117/Inv_SY!$Z117-1,"")</f>
        <v>-1</v>
      </c>
      <c r="AD115" s="55">
        <f>IFERROR(Inv_SY!R117/Inv_SY!$Z117-1,"")</f>
        <v>3.7607852600604286E-2</v>
      </c>
      <c r="AE115" s="55">
        <f>IFERROR(Inv_SY!S117/Inv_SY!$Z117-1,"")</f>
        <v>1.2459682466340771E-2</v>
      </c>
      <c r="AF115" s="55">
        <f>IFERROR(Inv_SY!T117/Inv_SY!$Z117-1,"")</f>
        <v>-1.9773009908695016E-2</v>
      </c>
      <c r="AG115" s="55">
        <f>IFERROR(Inv_SY!U117/Inv_SY!$Z117-1,"")</f>
        <v>-2.6052659569016146E-2</v>
      </c>
      <c r="AH115" s="55">
        <f>IFERROR(Inv_SY!V117/Inv_SY!$Y117-1,"")</f>
        <v>-6.7850848798489682E-4</v>
      </c>
      <c r="AI115" s="55">
        <f>IFERROR(Inv_SY!W117/Inv_SY!$Y117-1,"")</f>
        <v>-2.2448322599947002E-2</v>
      </c>
      <c r="AJ115" s="55">
        <f>IFERROR(Inv_SY!X117/Inv_SY!$Y117-1,"")</f>
        <v>2.3126831087931787E-2</v>
      </c>
      <c r="AK115" s="55">
        <f>IFERROR(Inv_SY!V117/Inv_SY!$Z117-1,"")</f>
        <v>-2.3267242000293953E-2</v>
      </c>
      <c r="AL115" s="55">
        <f>IFERROR(Inv_SY!W117/Inv_SY!$Z117-1,"")</f>
        <v>-4.4544969697859482E-2</v>
      </c>
      <c r="AM115" s="55">
        <f>IFERROR(Inv_SY!X117/Inv_SY!$Z117-1,"")</f>
        <v>0</v>
      </c>
    </row>
    <row r="116" spans="1:39" x14ac:dyDescent="0.3">
      <c r="A116" s="273">
        <f>YEAR(Table5[[#This Row],[Date]])+IF(MONTH(Table5[[#This Row],[Date]])&gt;=4,1,0)</f>
        <v>2026</v>
      </c>
      <c r="B116" s="273"/>
      <c r="C116" s="273">
        <f>YEAR(Table5[[#This Row],[Date]])</f>
        <v>2025</v>
      </c>
      <c r="D116" s="273"/>
      <c r="E116" s="273"/>
      <c r="F116" s="274" t="str">
        <f>TEXT(Table5[[#This Row],[Date]],"mmm-yy")</f>
        <v>Jul-25</v>
      </c>
      <c r="G116" s="273">
        <f t="shared" si="7"/>
        <v>31</v>
      </c>
      <c r="H116" s="275">
        <f t="shared" si="8"/>
        <v>45859</v>
      </c>
      <c r="I116" s="273">
        <v>8.02</v>
      </c>
      <c r="J116" s="55">
        <f>IFERROR(Inv_SY!J118/Inv_SY!$Y118-1,"")</f>
        <v>0.27201725791387332</v>
      </c>
      <c r="K116" s="55">
        <f>IFERROR(Inv_SY!K118/Inv_SY!$Y118-1,"")</f>
        <v>0.32763112497495372</v>
      </c>
      <c r="L116" s="55">
        <f>IFERROR(Inv_SY!L118/Inv_SY!$Y118-1,"")</f>
        <v>-1</v>
      </c>
      <c r="M116" s="55">
        <f>IFERROR(Inv_SY!M118/Inv_SY!$Y118-1,"")</f>
        <v>0.25244040286544678</v>
      </c>
      <c r="N116" s="55">
        <f>IFERROR(Inv_SY!N118/Inv_SY!$Y118-1,"")</f>
        <v>0.37992620527623977</v>
      </c>
      <c r="O116" s="55">
        <f>IFERROR(Inv_SY!O118/Inv_SY!$Y118-1,"")</f>
        <v>0.30808654667823654</v>
      </c>
      <c r="P116" s="55">
        <f>IFERROR(Inv_SY!P118/Inv_SY!$Y118-1,"")</f>
        <v>0.31028124093275822</v>
      </c>
      <c r="Q116" s="55">
        <f>IFERROR(Inv_SY!Q118/Inv_SY!$Y118-1,"")</f>
        <v>-1</v>
      </c>
      <c r="R116" s="55">
        <f>IFERROR(Inv_SY!R118/Inv_SY!$Y118-1,"")</f>
        <v>2.6433176428685368E-2</v>
      </c>
      <c r="S116" s="55">
        <f>IFERROR(Inv_SY!S118/Inv_SY!$Y118-1,"")</f>
        <v>0.10293123229374723</v>
      </c>
      <c r="T116" s="55">
        <f>IFERROR(Inv_SY!T118/Inv_SY!$Y118-1,"")</f>
        <v>1.3274110439572384E-2</v>
      </c>
      <c r="U116" s="55">
        <f>IFERROR(Inv_SY!U118/Inv_SY!$Y118-1,"")</f>
        <v>8.6438361309331135E-3</v>
      </c>
      <c r="V116" s="55">
        <f>IFERROR(Inv_SY!J118/Inv_SY!$Z118-1,"")</f>
        <v>0.2272207135936708</v>
      </c>
      <c r="W116" s="55">
        <f>IFERROR(Inv_SY!K118/Inv_SY!$Z118-1,"")</f>
        <v>0.28087603092193913</v>
      </c>
      <c r="X116" s="55">
        <f>IFERROR(Inv_SY!L118/Inv_SY!$Z118-1,"")</f>
        <v>-1</v>
      </c>
      <c r="Y116" s="55">
        <f>IFERROR(Inv_SY!M118/Inv_SY!$Z118-1,"")</f>
        <v>0.20833329530356726</v>
      </c>
      <c r="Z116" s="55">
        <f>IFERROR(Inv_SY!N118/Inv_SY!$Z118-1,"")</f>
        <v>0.33132943897556477</v>
      </c>
      <c r="AA116" s="55">
        <f>IFERROR(Inv_SY!O118/Inv_SY!$Z118-1,"")</f>
        <v>0.26201975269539912</v>
      </c>
      <c r="AB116" s="55">
        <f>IFERROR(Inv_SY!P118/Inv_SY!$Z118-1,"")</f>
        <v>0.26413715655324532</v>
      </c>
      <c r="AC116" s="55">
        <f>IFERROR(Inv_SY!Q118/Inv_SY!$Z118-1,"")</f>
        <v>-1</v>
      </c>
      <c r="AD116" s="55">
        <f>IFERROR(Inv_SY!R118/Inv_SY!$Z118-1,"")</f>
        <v>-9.7146501778678784E-3</v>
      </c>
      <c r="AE116" s="55">
        <f>IFERROR(Inv_SY!S118/Inv_SY!$Z118-1,"")</f>
        <v>6.4089378913069428E-2</v>
      </c>
      <c r="AF116" s="55">
        <f>IFERROR(Inv_SY!T118/Inv_SY!$Z118-1,"")</f>
        <v>-2.2410294244733842E-2</v>
      </c>
      <c r="AG116" s="55">
        <f>IFERROR(Inv_SY!U118/Inv_SY!$Z118-1,"")</f>
        <v>-2.6877504501379046E-2</v>
      </c>
      <c r="AH116" s="55">
        <f>IFERROR(Inv_SY!V118/Inv_SY!$Y118-1,"")</f>
        <v>-3.7747714951381073E-2</v>
      </c>
      <c r="AI116" s="55">
        <f>IFERROR(Inv_SY!W118/Inv_SY!$Y118-1,"")</f>
        <v>1.2452799582294283E-3</v>
      </c>
      <c r="AJ116" s="55">
        <f>IFERROR(Inv_SY!X118/Inv_SY!$Y118-1,"")</f>
        <v>3.6502434993151978E-2</v>
      </c>
      <c r="AK116" s="55">
        <f>IFERROR(Inv_SY!V118/Inv_SY!$Z118-1,"")</f>
        <v>-7.1635287518667101E-2</v>
      </c>
      <c r="AL116" s="55">
        <f>IFERROR(Inv_SY!W118/Inv_SY!$Z118-1,"")</f>
        <v>-3.4015506230002712E-2</v>
      </c>
      <c r="AM116" s="55">
        <f>IFERROR(Inv_SY!X118/Inv_SY!$Z118-1,"")</f>
        <v>0</v>
      </c>
    </row>
    <row r="117" spans="1:39" x14ac:dyDescent="0.3">
      <c r="A117" s="273">
        <f>YEAR(Table5[[#This Row],[Date]])+IF(MONTH(Table5[[#This Row],[Date]])&gt;=4,1,0)</f>
        <v>2026</v>
      </c>
      <c r="B117" s="273"/>
      <c r="C117" s="273">
        <f>YEAR(Table5[[#This Row],[Date]])</f>
        <v>2025</v>
      </c>
      <c r="D117" s="273"/>
      <c r="E117" s="273"/>
      <c r="F117" s="274" t="str">
        <f>TEXT(Table5[[#This Row],[Date]],"mmm-yy")</f>
        <v>Jul-25</v>
      </c>
      <c r="G117" s="273">
        <f t="shared" si="7"/>
        <v>31</v>
      </c>
      <c r="H117" s="275">
        <f t="shared" si="8"/>
        <v>45860</v>
      </c>
      <c r="I117" s="273">
        <v>8.02</v>
      </c>
      <c r="J117" s="55">
        <f>IFERROR(Inv_SY!J119/Inv_SY!$Y119-1,"")</f>
        <v>0.31030832196242386</v>
      </c>
      <c r="K117" s="55">
        <f>IFERROR(Inv_SY!K119/Inv_SY!$Y119-1,"")</f>
        <v>0.31007951908438325</v>
      </c>
      <c r="L117" s="55">
        <f>IFERROR(Inv_SY!L119/Inv_SY!$Y119-1,"")</f>
        <v>-1</v>
      </c>
      <c r="M117" s="55">
        <f>IFERROR(Inv_SY!M119/Inv_SY!$Y119-1,"")</f>
        <v>0.32044828443050521</v>
      </c>
      <c r="N117" s="55">
        <f>IFERROR(Inv_SY!N119/Inv_SY!$Y119-1,"")</f>
        <v>0.31239380393276028</v>
      </c>
      <c r="O117" s="55">
        <f>IFERROR(Inv_SY!O119/Inv_SY!$Y119-1,"")</f>
        <v>0.33378874846297513</v>
      </c>
      <c r="P117" s="55">
        <f>IFERROR(Inv_SY!P119/Inv_SY!$Y119-1,"")</f>
        <v>0.30406837986556834</v>
      </c>
      <c r="Q117" s="55">
        <f>IFERROR(Inv_SY!Q119/Inv_SY!$Y119-1,"")</f>
        <v>-1</v>
      </c>
      <c r="R117" s="55">
        <f>IFERROR(Inv_SY!R119/Inv_SY!$Y119-1,"")</f>
        <v>2.4021626831490339E-2</v>
      </c>
      <c r="S117" s="55">
        <f>IFERROR(Inv_SY!S119/Inv_SY!$Y119-1,"")</f>
        <v>3.9399785665124032E-2</v>
      </c>
      <c r="T117" s="55">
        <f>IFERROR(Inv_SY!T119/Inv_SY!$Y119-1,"")</f>
        <v>4.0615838128428727E-2</v>
      </c>
      <c r="U117" s="55">
        <f>IFERROR(Inv_SY!U119/Inv_SY!$Y119-1,"")</f>
        <v>4.6595082376952313E-3</v>
      </c>
      <c r="V117" s="55">
        <f>IFERROR(Inv_SY!J119/Inv_SY!$Z119-1,"")</f>
        <v>0.27684568954478994</v>
      </c>
      <c r="W117" s="55">
        <f>IFERROR(Inv_SY!K119/Inv_SY!$Z119-1,"")</f>
        <v>0.27662272983089298</v>
      </c>
      <c r="X117" s="55">
        <f>IFERROR(Inv_SY!L119/Inv_SY!$Z119-1,"")</f>
        <v>-1</v>
      </c>
      <c r="Y117" s="55">
        <f>IFERROR(Inv_SY!M119/Inv_SY!$Z119-1,"")</f>
        <v>0.28672669781780846</v>
      </c>
      <c r="Z117" s="55">
        <f>IFERROR(Inv_SY!N119/Inv_SY!$Z119-1,"")</f>
        <v>0.27887791251080096</v>
      </c>
      <c r="AA117" s="55">
        <f>IFERROR(Inv_SY!O119/Inv_SY!$Z119-1,"")</f>
        <v>0.29972647329880009</v>
      </c>
      <c r="AB117" s="55">
        <f>IFERROR(Inv_SY!P119/Inv_SY!$Z119-1,"")</f>
        <v>0.2707651029867757</v>
      </c>
      <c r="AC117" s="55">
        <f>IFERROR(Inv_SY!Q119/Inv_SY!$Z119-1,"")</f>
        <v>-1</v>
      </c>
      <c r="AD117" s="55">
        <f>IFERROR(Inv_SY!R119/Inv_SY!$Z119-1,"")</f>
        <v>-2.1298206652710094E-3</v>
      </c>
      <c r="AE117" s="55">
        <f>IFERROR(Inv_SY!S119/Inv_SY!$Z119-1,"")</f>
        <v>1.2855611000501144E-2</v>
      </c>
      <c r="AF117" s="55">
        <f>IFERROR(Inv_SY!T119/Inv_SY!$Z119-1,"")</f>
        <v>1.4040607935959182E-2</v>
      </c>
      <c r="AG117" s="55">
        <f>IFERROR(Inv_SY!U119/Inv_SY!$Z119-1,"")</f>
        <v>-2.0997469792245704E-2</v>
      </c>
      <c r="AH117" s="55">
        <f>IFERROR(Inv_SY!V119/Inv_SY!$Y119-1,"")</f>
        <v>-1.5421691126156767E-2</v>
      </c>
      <c r="AI117" s="55">
        <f>IFERROR(Inv_SY!W119/Inv_SY!$Y119-1,"")</f>
        <v>-1.0785573143626714E-2</v>
      </c>
      <c r="AJ117" s="55">
        <f>IFERROR(Inv_SY!X119/Inv_SY!$Y119-1,"")</f>
        <v>2.6207264269783259E-2</v>
      </c>
      <c r="AK117" s="55">
        <f>IFERROR(Inv_SY!V119/Inv_SY!$Z119-1,"")</f>
        <v>-4.0565835816375628E-2</v>
      </c>
      <c r="AL117" s="55">
        <f>IFERROR(Inv_SY!W119/Inv_SY!$Z119-1,"")</f>
        <v>-3.6048114938781795E-2</v>
      </c>
      <c r="AM117" s="55">
        <f>IFERROR(Inv_SY!X119/Inv_SY!$Z119-1,"")</f>
        <v>0</v>
      </c>
    </row>
    <row r="118" spans="1:39" x14ac:dyDescent="0.3">
      <c r="A118" s="273">
        <f>YEAR(Table5[[#This Row],[Date]])+IF(MONTH(Table5[[#This Row],[Date]])&gt;=4,1,0)</f>
        <v>2026</v>
      </c>
      <c r="B118" s="273"/>
      <c r="C118" s="273">
        <f>YEAR(Table5[[#This Row],[Date]])</f>
        <v>2025</v>
      </c>
      <c r="D118" s="273"/>
      <c r="E118" s="273"/>
      <c r="F118" s="274" t="str">
        <f>TEXT(Table5[[#This Row],[Date]],"mmm-yy")</f>
        <v>Jul-25</v>
      </c>
      <c r="G118" s="273">
        <f t="shared" si="7"/>
        <v>31</v>
      </c>
      <c r="H118" s="275">
        <f t="shared" si="8"/>
        <v>45861</v>
      </c>
      <c r="I118" s="273">
        <v>8.02</v>
      </c>
      <c r="J118" s="55">
        <f>IFERROR(Inv_SY!J120/Inv_SY!$Y120-1,"")</f>
        <v>0.40224538114062236</v>
      </c>
      <c r="K118" s="55">
        <f>IFERROR(Inv_SY!K120/Inv_SY!$Y120-1,"")</f>
        <v>0.31766368847875492</v>
      </c>
      <c r="L118" s="55">
        <f>IFERROR(Inv_SY!L120/Inv_SY!$Y120-1,"")</f>
        <v>-1</v>
      </c>
      <c r="M118" s="55">
        <f>IFERROR(Inv_SY!M120/Inv_SY!$Y120-1,"")</f>
        <v>0.30044077351524878</v>
      </c>
      <c r="N118" s="55">
        <f>IFERROR(Inv_SY!N120/Inv_SY!$Y120-1,"")</f>
        <v>0.28256048760846397</v>
      </c>
      <c r="O118" s="55">
        <f>IFERROR(Inv_SY!O120/Inv_SY!$Y120-1,"")</f>
        <v>0.2759284121764507</v>
      </c>
      <c r="P118" s="55">
        <f>IFERROR(Inv_SY!P120/Inv_SY!$Y120-1,"")</f>
        <v>0.36786555785273434</v>
      </c>
      <c r="Q118" s="55">
        <f>IFERROR(Inv_SY!Q120/Inv_SY!$Y120-1,"")</f>
        <v>-1</v>
      </c>
      <c r="R118" s="55">
        <f>IFERROR(Inv_SY!R120/Inv_SY!$Y120-1,"")</f>
        <v>8.0416534440810983E-2</v>
      </c>
      <c r="S118" s="55">
        <f>IFERROR(Inv_SY!S120/Inv_SY!$Y120-1,"")</f>
        <v>1.5135358702107915E-2</v>
      </c>
      <c r="T118" s="55">
        <f>IFERROR(Inv_SY!T120/Inv_SY!$Y120-1,"")</f>
        <v>-1.8109646346061714E-2</v>
      </c>
      <c r="U118" s="55">
        <f>IFERROR(Inv_SY!U120/Inv_SY!$Y120-1,"")</f>
        <v>-2.3008657598547311E-2</v>
      </c>
      <c r="V118" s="55">
        <f>IFERROR(Inv_SY!J120/Inv_SY!$Z120-1,"")</f>
        <v>0.38491641340656124</v>
      </c>
      <c r="W118" s="55">
        <f>IFERROR(Inv_SY!K120/Inv_SY!$Z120-1,"")</f>
        <v>0.30137998246760112</v>
      </c>
      <c r="X118" s="55">
        <f>IFERROR(Inv_SY!L120/Inv_SY!$Z120-1,"")</f>
        <v>-1</v>
      </c>
      <c r="Y118" s="55">
        <f>IFERROR(Inv_SY!M120/Inv_SY!$Z120-1,"")</f>
        <v>0.28436990852443489</v>
      </c>
      <c r="Z118" s="55">
        <f>IFERROR(Inv_SY!N120/Inv_SY!$Z120-1,"")</f>
        <v>0.26671058743716136</v>
      </c>
      <c r="AA118" s="55">
        <f>IFERROR(Inv_SY!O120/Inv_SY!$Z120-1,"")</f>
        <v>0.26016047128468434</v>
      </c>
      <c r="AB118" s="55">
        <f>IFERROR(Inv_SY!P120/Inv_SY!$Z120-1,"")</f>
        <v>0.35096145644839782</v>
      </c>
      <c r="AC118" s="55">
        <f>IFERROR(Inv_SY!Q120/Inv_SY!$Z120-1,"")</f>
        <v>-1</v>
      </c>
      <c r="AD118" s="55">
        <f>IFERROR(Inv_SY!R120/Inv_SY!$Z120-1,"")</f>
        <v>6.7064732026998364E-2</v>
      </c>
      <c r="AE118" s="55">
        <f>IFERROR(Inv_SY!S120/Inv_SY!$Z120-1,"")</f>
        <v>2.5903019572288688E-3</v>
      </c>
      <c r="AF118" s="55">
        <f>IFERROR(Inv_SY!T120/Inv_SY!$Z120-1,"")</f>
        <v>-3.0243860860652894E-2</v>
      </c>
      <c r="AG118" s="55">
        <f>IFERROR(Inv_SY!U120/Inv_SY!$Z120-1,"")</f>
        <v>-3.5082330064603484E-2</v>
      </c>
      <c r="AH118" s="55">
        <f>IFERROR(Inv_SY!V120/Inv_SY!$Y120-1,"")</f>
        <v>4.2570382679842922E-3</v>
      </c>
      <c r="AI118" s="55">
        <f>IFERROR(Inv_SY!W120/Inv_SY!$Y120-1,"")</f>
        <v>-1.676968348347152E-2</v>
      </c>
      <c r="AJ118" s="55">
        <f>IFERROR(Inv_SY!X120/Inv_SY!$Y120-1,"")</f>
        <v>1.2512645215487117E-2</v>
      </c>
      <c r="AK118" s="55">
        <f>IFERROR(Inv_SY!V120/Inv_SY!$Z120-1,"")</f>
        <v>-8.1535840431364859E-3</v>
      </c>
      <c r="AL118" s="55">
        <f>IFERROR(Inv_SY!W120/Inv_SY!$Z120-1,"")</f>
        <v>-2.8920457277574751E-2</v>
      </c>
      <c r="AM118" s="55">
        <f>IFERROR(Inv_SY!X120/Inv_SY!$Z120-1,"")</f>
        <v>0</v>
      </c>
    </row>
    <row r="119" spans="1:39" x14ac:dyDescent="0.3">
      <c r="A119" s="273">
        <f>YEAR(Table5[[#This Row],[Date]])+IF(MONTH(Table5[[#This Row],[Date]])&gt;=4,1,0)</f>
        <v>2026</v>
      </c>
      <c r="B119" s="273"/>
      <c r="C119" s="273">
        <f>YEAR(Table5[[#This Row],[Date]])</f>
        <v>2025</v>
      </c>
      <c r="D119" s="273"/>
      <c r="E119" s="273"/>
      <c r="F119" s="274" t="str">
        <f>TEXT(Table5[[#This Row],[Date]],"mmm-yy")</f>
        <v>Jul-25</v>
      </c>
      <c r="G119" s="273">
        <f t="shared" si="7"/>
        <v>31</v>
      </c>
      <c r="H119" s="275">
        <f t="shared" si="8"/>
        <v>45862</v>
      </c>
      <c r="I119" s="273">
        <v>8.02</v>
      </c>
      <c r="J119" s="55">
        <f>IFERROR(Inv_SY!J121/Inv_SY!$Y121-1,"")</f>
        <v>0.34211656142799662</v>
      </c>
      <c r="K119" s="55">
        <f>IFERROR(Inv_SY!K121/Inv_SY!$Y121-1,"")</f>
        <v>0.34819550409830047</v>
      </c>
      <c r="L119" s="55">
        <f>IFERROR(Inv_SY!L121/Inv_SY!$Y121-1,"")</f>
        <v>-1</v>
      </c>
      <c r="M119" s="55">
        <f>IFERROR(Inv_SY!M121/Inv_SY!$Y121-1,"")</f>
        <v>0.32679557546181948</v>
      </c>
      <c r="N119" s="55">
        <f>IFERROR(Inv_SY!N121/Inv_SY!$Y121-1,"")</f>
        <v>0.34587230162286664</v>
      </c>
      <c r="O119" s="55">
        <f>IFERROR(Inv_SY!O121/Inv_SY!$Y121-1,"")</f>
        <v>0.28505173279549378</v>
      </c>
      <c r="P119" s="55">
        <f>IFERROR(Inv_SY!P121/Inv_SY!$Y121-1,"")</f>
        <v>0.27945237883995788</v>
      </c>
      <c r="Q119" s="55">
        <f>IFERROR(Inv_SY!Q121/Inv_SY!$Y121-1,"")</f>
        <v>-1</v>
      </c>
      <c r="R119" s="55">
        <f>IFERROR(Inv_SY!R121/Inv_SY!$Y121-1,"")</f>
        <v>2.2049723625298112E-2</v>
      </c>
      <c r="S119" s="55">
        <f>IFERROR(Inv_SY!S121/Inv_SY!$Y121-1,"")</f>
        <v>3.7992077159550997E-2</v>
      </c>
      <c r="T119" s="55">
        <f>IFERROR(Inv_SY!T121/Inv_SY!$Y121-1,"")</f>
        <v>8.8572949253364897E-3</v>
      </c>
      <c r="U119" s="55">
        <f>IFERROR(Inv_SY!U121/Inv_SY!$Y121-1,"")</f>
        <v>4.0875051746001034E-3</v>
      </c>
      <c r="V119" s="55">
        <f>IFERROR(Inv_SY!J121/Inv_SY!$Z121-1,"")</f>
        <v>0.31940448549543143</v>
      </c>
      <c r="W119" s="55">
        <f>IFERROR(Inv_SY!K121/Inv_SY!$Z121-1,"")</f>
        <v>0.32538055676731448</v>
      </c>
      <c r="X119" s="55">
        <f>IFERROR(Inv_SY!L121/Inv_SY!$Z121-1,"")</f>
        <v>-1</v>
      </c>
      <c r="Y119" s="55">
        <f>IFERROR(Inv_SY!M121/Inv_SY!$Z121-1,"")</f>
        <v>0.30434277015196032</v>
      </c>
      <c r="Z119" s="55">
        <f>IFERROR(Inv_SY!N121/Inv_SY!$Z121-1,"")</f>
        <v>0.32309666887344957</v>
      </c>
      <c r="AA119" s="55">
        <f>IFERROR(Inv_SY!O121/Inv_SY!$Z121-1,"")</f>
        <v>0.26330534103539827</v>
      </c>
      <c r="AB119" s="55">
        <f>IFERROR(Inv_SY!P121/Inv_SY!$Z121-1,"")</f>
        <v>0.25780074259951391</v>
      </c>
      <c r="AC119" s="55">
        <f>IFERROR(Inv_SY!Q121/Inv_SY!$Z121-1,"")</f>
        <v>-1</v>
      </c>
      <c r="AD119" s="55">
        <f>IFERROR(Inv_SY!R121/Inv_SY!$Z121-1,"")</f>
        <v>4.7540046117895418E-3</v>
      </c>
      <c r="AE119" s="55">
        <f>IFERROR(Inv_SY!S121/Inv_SY!$Z121-1,"")</f>
        <v>2.0426572380468855E-2</v>
      </c>
      <c r="AF119" s="55">
        <f>IFERROR(Inv_SY!T121/Inv_SY!$Z121-1,"")</f>
        <v>-8.2151741477572982E-3</v>
      </c>
      <c r="AG119" s="55">
        <f>IFERROR(Inv_SY!U121/Inv_SY!$Z121-1,"")</f>
        <v>-1.2904246746113235E-2</v>
      </c>
      <c r="AH119" s="55">
        <f>IFERROR(Inv_SY!V121/Inv_SY!$Y121-1,"")</f>
        <v>3.5569912493988998E-3</v>
      </c>
      <c r="AI119" s="55">
        <f>IFERROR(Inv_SY!W121/Inv_SY!$Y121-1,"")</f>
        <v>-2.0770875378371634E-2</v>
      </c>
      <c r="AJ119" s="55">
        <f>IFERROR(Inv_SY!X121/Inv_SY!$Y121-1,"")</f>
        <v>1.7213884128972623E-2</v>
      </c>
      <c r="AK119" s="55">
        <f>IFERROR(Inv_SY!V121/Inv_SY!$Z121-1,"")</f>
        <v>-1.3425783006558167E-2</v>
      </c>
      <c r="AL119" s="55">
        <f>IFERROR(Inv_SY!W121/Inv_SY!$Z121-1,"")</f>
        <v>-3.7341959346013254E-2</v>
      </c>
      <c r="AM119" s="55">
        <f>IFERROR(Inv_SY!X121/Inv_SY!$Z121-1,"")</f>
        <v>0</v>
      </c>
    </row>
    <row r="120" spans="1:39" x14ac:dyDescent="0.3">
      <c r="A120" s="273">
        <f>YEAR(Table5[[#This Row],[Date]])+IF(MONTH(Table5[[#This Row],[Date]])&gt;=4,1,0)</f>
        <v>2026</v>
      </c>
      <c r="B120" s="273"/>
      <c r="C120" s="273">
        <f>YEAR(Table5[[#This Row],[Date]])</f>
        <v>2025</v>
      </c>
      <c r="D120" s="273"/>
      <c r="E120" s="273"/>
      <c r="F120" s="274" t="str">
        <f>TEXT(Table5[[#This Row],[Date]],"mmm-yy")</f>
        <v>Jul-25</v>
      </c>
      <c r="G120" s="273">
        <f t="shared" si="7"/>
        <v>31</v>
      </c>
      <c r="H120" s="275">
        <f t="shared" si="8"/>
        <v>45863</v>
      </c>
      <c r="I120" s="273">
        <v>8.02</v>
      </c>
      <c r="J120" s="55">
        <f>IFERROR(Inv_SY!J122/Inv_SY!$Y122-1,"")</f>
        <v>0.31610796038523614</v>
      </c>
      <c r="K120" s="55">
        <f>IFERROR(Inv_SY!K122/Inv_SY!$Y122-1,"")</f>
        <v>0.31638689531149233</v>
      </c>
      <c r="L120" s="55">
        <f>IFERROR(Inv_SY!L122/Inv_SY!$Y122-1,"")</f>
        <v>-1</v>
      </c>
      <c r="M120" s="55">
        <f>IFERROR(Inv_SY!M122/Inv_SY!$Y122-1,"")</f>
        <v>0.39193546078795793</v>
      </c>
      <c r="N120" s="55">
        <f>IFERROR(Inv_SY!N122/Inv_SY!$Y122-1,"")</f>
        <v>0.34713375505159583</v>
      </c>
      <c r="O120" s="55">
        <f>IFERROR(Inv_SY!O122/Inv_SY!$Y122-1,"")</f>
        <v>0.3345649167898026</v>
      </c>
      <c r="P120" s="55">
        <f>IFERROR(Inv_SY!P122/Inv_SY!$Y122-1,"")</f>
        <v>0.24856760236700715</v>
      </c>
      <c r="Q120" s="55">
        <f>IFERROR(Inv_SY!Q122/Inv_SY!$Y122-1,"")</f>
        <v>-1</v>
      </c>
      <c r="R120" s="55">
        <f>IFERROR(Inv_SY!R122/Inv_SY!$Y122-1,"")</f>
        <v>-9.5358599798336385E-3</v>
      </c>
      <c r="S120" s="55">
        <f>IFERROR(Inv_SY!S122/Inv_SY!$Y122-1,"")</f>
        <v>6.4767794745486107E-3</v>
      </c>
      <c r="T120" s="55">
        <f>IFERROR(Inv_SY!T122/Inv_SY!$Y122-1,"")</f>
        <v>7.22441667090572E-2</v>
      </c>
      <c r="U120" s="55">
        <f>IFERROR(Inv_SY!U122/Inv_SY!$Y122-1,"")</f>
        <v>-2.5440645951339325E-2</v>
      </c>
      <c r="V120" s="55">
        <f>IFERROR(Inv_SY!J122/Inv_SY!$Z122-1,"")</f>
        <v>0.30288064970970074</v>
      </c>
      <c r="W120" s="55">
        <f>IFERROR(Inv_SY!K122/Inv_SY!$Z122-1,"")</f>
        <v>0.30315678124973111</v>
      </c>
      <c r="X120" s="55">
        <f>IFERROR(Inv_SY!L122/Inv_SY!$Z122-1,"")</f>
        <v>-1</v>
      </c>
      <c r="Y120" s="55">
        <f>IFERROR(Inv_SY!M122/Inv_SY!$Z122-1,"")</f>
        <v>0.37794605920820623</v>
      </c>
      <c r="Z120" s="55">
        <f>IFERROR(Inv_SY!N122/Inv_SY!$Z122-1,"")</f>
        <v>0.33359462510487581</v>
      </c>
      <c r="AA120" s="55">
        <f>IFERROR(Inv_SY!O122/Inv_SY!$Z122-1,"")</f>
        <v>0.32115210773279967</v>
      </c>
      <c r="AB120" s="55">
        <f>IFERROR(Inv_SY!P122/Inv_SY!$Z122-1,"")</f>
        <v>0.23601909413438249</v>
      </c>
      <c r="AC120" s="55">
        <f>IFERROR(Inv_SY!Q122/Inv_SY!$Z122-1,"")</f>
        <v>-1</v>
      </c>
      <c r="AD120" s="55">
        <f>IFERROR(Inv_SY!R122/Inv_SY!$Z122-1,"")</f>
        <v>-1.9490344936515358E-2</v>
      </c>
      <c r="AE120" s="55">
        <f>IFERROR(Inv_SY!S122/Inv_SY!$Z122-1,"")</f>
        <v>-3.6386376876769155E-3</v>
      </c>
      <c r="AF120" s="55">
        <f>IFERROR(Inv_SY!T122/Inv_SY!$Z122-1,"")</f>
        <v>6.1467766033735716E-2</v>
      </c>
      <c r="AG120" s="55">
        <f>IFERROR(Inv_SY!U122/Inv_SY!$Z122-1,"")</f>
        <v>-3.5235282664863643E-2</v>
      </c>
      <c r="AH120" s="55">
        <f>IFERROR(Inv_SY!V122/Inv_SY!$Y122-1,"")</f>
        <v>5.6377358029600089E-3</v>
      </c>
      <c r="AI120" s="55">
        <f>IFERROR(Inv_SY!W122/Inv_SY!$Y122-1,"")</f>
        <v>-1.5790093717311549E-2</v>
      </c>
      <c r="AJ120" s="55">
        <f>IFERROR(Inv_SY!X122/Inv_SY!$Y122-1,"")</f>
        <v>1.0152357914351429E-2</v>
      </c>
      <c r="AK120" s="55">
        <f>IFERROR(Inv_SY!V122/Inv_SY!$Z122-1,"")</f>
        <v>-4.469248698991013E-3</v>
      </c>
      <c r="AL120" s="55">
        <f>IFERROR(Inv_SY!W122/Inv_SY!$Z122-1,"")</f>
        <v>-2.5681721602101582E-2</v>
      </c>
      <c r="AM120" s="55">
        <f>IFERROR(Inv_SY!X122/Inv_SY!$Z122-1,"")</f>
        <v>0</v>
      </c>
    </row>
    <row r="121" spans="1:39" x14ac:dyDescent="0.3">
      <c r="A121" s="273">
        <f>YEAR(Table5[[#This Row],[Date]])+IF(MONTH(Table5[[#This Row],[Date]])&gt;=4,1,0)</f>
        <v>2026</v>
      </c>
      <c r="B121" s="273"/>
      <c r="C121" s="273">
        <f>YEAR(Table5[[#This Row],[Date]])</f>
        <v>2025</v>
      </c>
      <c r="D121" s="273"/>
      <c r="E121" s="273"/>
      <c r="F121" s="274" t="str">
        <f>TEXT(Table5[[#This Row],[Date]],"mmm-yy")</f>
        <v>Jul-25</v>
      </c>
      <c r="G121" s="273">
        <f t="shared" si="7"/>
        <v>31</v>
      </c>
      <c r="H121" s="275">
        <f t="shared" si="8"/>
        <v>45864</v>
      </c>
      <c r="I121" s="273">
        <v>8.02</v>
      </c>
      <c r="J121" s="55">
        <f>IFERROR(Inv_SY!J123/Inv_SY!$Y123-1,"")</f>
        <v>0.61473971852238174</v>
      </c>
      <c r="K121" s="55">
        <f>IFERROR(Inv_SY!K123/Inv_SY!$Y123-1,"")</f>
        <v>0.46241396328004836</v>
      </c>
      <c r="L121" s="55">
        <f>IFERROR(Inv_SY!L123/Inv_SY!$Y123-1,"")</f>
        <v>-1</v>
      </c>
      <c r="M121" s="55">
        <f>IFERROR(Inv_SY!M123/Inv_SY!$Y123-1,"")</f>
        <v>0.44560128504488894</v>
      </c>
      <c r="N121" s="55">
        <f>IFERROR(Inv_SY!N123/Inv_SY!$Y123-1,"")</f>
        <v>-6.7831009867070913E-2</v>
      </c>
      <c r="O121" s="55">
        <f>IFERROR(Inv_SY!O123/Inv_SY!$Y123-1,"")</f>
        <v>6.2754907597186049E-2</v>
      </c>
      <c r="P121" s="55">
        <f>IFERROR(Inv_SY!P123/Inv_SY!$Y123-1,"")</f>
        <v>-9.1039755603125605E-2</v>
      </c>
      <c r="Q121" s="55">
        <f>IFERROR(Inv_SY!Q123/Inv_SY!$Y123-1,"")</f>
        <v>-1</v>
      </c>
      <c r="R121" s="55">
        <f>IFERROR(Inv_SY!R123/Inv_SY!$Y123-1,"")</f>
        <v>0.2653957197358201</v>
      </c>
      <c r="S121" s="55">
        <f>IFERROR(Inv_SY!S123/Inv_SY!$Y123-1,"")</f>
        <v>0.13055376573274935</v>
      </c>
      <c r="T121" s="55">
        <f>IFERROR(Inv_SY!T123/Inv_SY!$Y123-1,"")</f>
        <v>9.3882303628888275E-2</v>
      </c>
      <c r="U121" s="55">
        <f>IFERROR(Inv_SY!U123/Inv_SY!$Y123-1,"")</f>
        <v>8.7763279424901919E-2</v>
      </c>
      <c r="V121" s="55">
        <f>IFERROR(Inv_SY!J123/Inv_SY!$Z123-1,"")</f>
        <v>0.41256028357298158</v>
      </c>
      <c r="W121" s="55">
        <f>IFERROR(Inv_SY!K123/Inv_SY!$Z123-1,"")</f>
        <v>0.27930703566410098</v>
      </c>
      <c r="X121" s="55">
        <f>IFERROR(Inv_SY!L123/Inv_SY!$Z123-1,"")</f>
        <v>-1</v>
      </c>
      <c r="Y121" s="55">
        <f>IFERROR(Inv_SY!M123/Inv_SY!$Z123-1,"")</f>
        <v>0.26459945074310198</v>
      </c>
      <c r="Z121" s="55">
        <f>IFERROR(Inv_SY!N123/Inv_SY!$Z123-1,"")</f>
        <v>-0.1845466622663875</v>
      </c>
      <c r="AA121" s="55">
        <f>IFERROR(Inv_SY!O123/Inv_SY!$Z123-1,"")</f>
        <v>-7.0311235659834992E-2</v>
      </c>
      <c r="AB121" s="55">
        <f>IFERROR(Inv_SY!P123/Inv_SY!$Z123-1,"")</f>
        <v>-0.20484947149454868</v>
      </c>
      <c r="AC121" s="55">
        <f>IFERROR(Inv_SY!Q123/Inv_SY!$Z123-1,"")</f>
        <v>-1</v>
      </c>
      <c r="AD121" s="55">
        <f>IFERROR(Inv_SY!R123/Inv_SY!$Z123-1,"")</f>
        <v>0.10695718709249769</v>
      </c>
      <c r="AE121" s="55">
        <f>IFERROR(Inv_SY!S123/Inv_SY!$Z123-1,"")</f>
        <v>-1.1001383319339642E-2</v>
      </c>
      <c r="AF121" s="55">
        <f>IFERROR(Inv_SY!T123/Inv_SY!$Z123-1,"")</f>
        <v>-4.3081259917573944E-2</v>
      </c>
      <c r="AG121" s="55">
        <f>IFERROR(Inv_SY!U123/Inv_SY!$Z123-1,"")</f>
        <v>-4.8434129154408256E-2</v>
      </c>
      <c r="AH121" s="55">
        <f>IFERROR(Inv_SY!V123/Inv_SY!$Y123-1,"")</f>
        <v>0.1296850069321791</v>
      </c>
      <c r="AI121" s="55">
        <f>IFERROR(Inv_SY!W123/Inv_SY!$Y123-1,"")</f>
        <v>-0.27281478149868466</v>
      </c>
      <c r="AJ121" s="55">
        <f>IFERROR(Inv_SY!X123/Inv_SY!$Y123-1,"")</f>
        <v>0.14312977456650566</v>
      </c>
      <c r="AK121" s="55">
        <f>IFERROR(Inv_SY!V123/Inv_SY!$Z123-1,"")</f>
        <v>-1.1761365973889548E-2</v>
      </c>
      <c r="AL121" s="55">
        <f>IFERROR(Inv_SY!W123/Inv_SY!$Z123-1,"")</f>
        <v>-0.3638646856372223</v>
      </c>
      <c r="AM121" s="55">
        <f>IFERROR(Inv_SY!X123/Inv_SY!$Z123-1,"")</f>
        <v>0</v>
      </c>
    </row>
    <row r="122" spans="1:39" x14ac:dyDescent="0.3">
      <c r="A122" s="273">
        <f>YEAR(Table5[[#This Row],[Date]])+IF(MONTH(Table5[[#This Row],[Date]])&gt;=4,1,0)</f>
        <v>2026</v>
      </c>
      <c r="B122" s="273"/>
      <c r="C122" s="273">
        <f>YEAR(Table5[[#This Row],[Date]])</f>
        <v>2025</v>
      </c>
      <c r="D122" s="273"/>
      <c r="E122" s="273"/>
      <c r="F122" s="274" t="str">
        <f>TEXT(Table5[[#This Row],[Date]],"mmm-yy")</f>
        <v>Jul-25</v>
      </c>
      <c r="G122" s="273">
        <f t="shared" si="7"/>
        <v>31</v>
      </c>
      <c r="H122" s="275">
        <f t="shared" si="8"/>
        <v>45865</v>
      </c>
      <c r="I122" s="273">
        <v>8.02</v>
      </c>
      <c r="J122" s="55">
        <f>IFERROR(Inv_SY!J124/Inv_SY!$Y124-1,"")</f>
        <v>0.33455079165740598</v>
      </c>
      <c r="K122" s="55">
        <f>IFERROR(Inv_SY!K124/Inv_SY!$Y124-1,"")</f>
        <v>0.36536560062157353</v>
      </c>
      <c r="L122" s="55">
        <f>IFERROR(Inv_SY!L124/Inv_SY!$Y124-1,"")</f>
        <v>-1</v>
      </c>
      <c r="M122" s="55">
        <f>IFERROR(Inv_SY!M124/Inv_SY!$Y124-1,"")</f>
        <v>0.31399164510653543</v>
      </c>
      <c r="N122" s="55">
        <f>IFERROR(Inv_SY!N124/Inv_SY!$Y124-1,"")</f>
        <v>0.31780250151123179</v>
      </c>
      <c r="O122" s="55">
        <f>IFERROR(Inv_SY!O124/Inv_SY!$Y124-1,"")</f>
        <v>0.26993613262225891</v>
      </c>
      <c r="P122" s="55">
        <f>IFERROR(Inv_SY!P124/Inv_SY!$Y124-1,"")</f>
        <v>0.2692377456463253</v>
      </c>
      <c r="Q122" s="55">
        <f>IFERROR(Inv_SY!Q124/Inv_SY!$Y124-1,"")</f>
        <v>-1</v>
      </c>
      <c r="R122" s="55">
        <f>IFERROR(Inv_SY!R124/Inv_SY!$Y124-1,"")</f>
        <v>2.7264537053798499E-2</v>
      </c>
      <c r="S122" s="55">
        <f>IFERROR(Inv_SY!S124/Inv_SY!$Y124-1,"")</f>
        <v>8.0569093373812128E-2</v>
      </c>
      <c r="T122" s="55">
        <f>IFERROR(Inv_SY!T124/Inv_SY!$Y124-1,"")</f>
        <v>1.4288419039679923E-2</v>
      </c>
      <c r="U122" s="55">
        <f>IFERROR(Inv_SY!U124/Inv_SY!$Y124-1,"")</f>
        <v>8.4594743563997099E-3</v>
      </c>
      <c r="V122" s="55">
        <f>IFERROR(Inv_SY!J124/Inv_SY!$Z124-1,"")</f>
        <v>0.29388071709226415</v>
      </c>
      <c r="W122" s="55">
        <f>IFERROR(Inv_SY!K124/Inv_SY!$Z124-1,"")</f>
        <v>0.32375645308437417</v>
      </c>
      <c r="X122" s="55">
        <f>IFERROR(Inv_SY!L124/Inv_SY!$Z124-1,"")</f>
        <v>-1</v>
      </c>
      <c r="Y122" s="55">
        <f>IFERROR(Inv_SY!M124/Inv_SY!$Z124-1,"")</f>
        <v>0.27394810497413791</v>
      </c>
      <c r="Z122" s="55">
        <f>IFERROR(Inv_SY!N124/Inv_SY!$Z124-1,"")</f>
        <v>0.27764282656020844</v>
      </c>
      <c r="AA122" s="55">
        <f>IFERROR(Inv_SY!O124/Inv_SY!$Z124-1,"")</f>
        <v>0.23123517232192303</v>
      </c>
      <c r="AB122" s="55">
        <f>IFERROR(Inv_SY!P124/Inv_SY!$Z124-1,"")</f>
        <v>0.23055806850026439</v>
      </c>
      <c r="AC122" s="55">
        <f>IFERROR(Inv_SY!Q124/Inv_SY!$Z124-1,"")</f>
        <v>-1</v>
      </c>
      <c r="AD122" s="55">
        <f>IFERROR(Inv_SY!R124/Inv_SY!$Z124-1,"")</f>
        <v>-4.0410719805478168E-3</v>
      </c>
      <c r="AE122" s="55">
        <f>IFERROR(Inv_SY!S124/Inv_SY!$Z124-1,"")</f>
        <v>4.7639042397091824E-2</v>
      </c>
      <c r="AF122" s="55">
        <f>IFERROR(Inv_SY!T124/Inv_SY!$Z124-1,"")</f>
        <v>-1.6621746306423657E-2</v>
      </c>
      <c r="AG122" s="55">
        <f>IFERROR(Inv_SY!U124/Inv_SY!$Z124-1,"")</f>
        <v>-2.2273055476400572E-2</v>
      </c>
      <c r="AH122" s="55">
        <f>IFERROR(Inv_SY!V124/Inv_SY!$Y124-1,"")</f>
        <v>2.7105810140621855E-3</v>
      </c>
      <c r="AI122" s="55">
        <f>IFERROR(Inv_SY!W124/Inv_SY!$Y124-1,"")</f>
        <v>-3.4143211571026844E-2</v>
      </c>
      <c r="AJ122" s="55">
        <f>IFERROR(Inv_SY!X124/Inv_SY!$Y124-1,"")</f>
        <v>3.1432630556964769E-2</v>
      </c>
      <c r="AK122" s="55">
        <f>IFERROR(Inv_SY!V124/Inv_SY!$Z124-1,"")</f>
        <v>-2.7846752848407541E-2</v>
      </c>
      <c r="AL122" s="55">
        <f>IFERROR(Inv_SY!W124/Inv_SY!$Z124-1,"")</f>
        <v>-6.3577436068297799E-2</v>
      </c>
      <c r="AM122" s="55">
        <f>IFERROR(Inv_SY!X124/Inv_SY!$Z124-1,"")</f>
        <v>0</v>
      </c>
    </row>
    <row r="123" spans="1:39" x14ac:dyDescent="0.3">
      <c r="A123" s="273">
        <f>YEAR(Table5[[#This Row],[Date]])+IF(MONTH(Table5[[#This Row],[Date]])&gt;=4,1,0)</f>
        <v>2026</v>
      </c>
      <c r="B123" s="273"/>
      <c r="C123" s="273">
        <f>YEAR(Table5[[#This Row],[Date]])</f>
        <v>2025</v>
      </c>
      <c r="D123" s="273"/>
      <c r="E123" s="273"/>
      <c r="F123" s="274" t="str">
        <f>TEXT(Table5[[#This Row],[Date]],"mmm-yy")</f>
        <v>Jul-25</v>
      </c>
      <c r="G123" s="273">
        <f t="shared" si="7"/>
        <v>31</v>
      </c>
      <c r="H123" s="275">
        <f t="shared" si="8"/>
        <v>45866</v>
      </c>
      <c r="I123" s="273">
        <v>8.02</v>
      </c>
      <c r="J123" s="55">
        <f>IFERROR(Inv_SY!J125/Inv_SY!$Y125-1,"")</f>
        <v>0.3336275547001053</v>
      </c>
      <c r="K123" s="55">
        <f>IFERROR(Inv_SY!K125/Inv_SY!$Y125-1,"")</f>
        <v>0.33235533304400611</v>
      </c>
      <c r="L123" s="55">
        <f>IFERROR(Inv_SY!L125/Inv_SY!$Y125-1,"")</f>
        <v>-1</v>
      </c>
      <c r="M123" s="55">
        <f>IFERROR(Inv_SY!M125/Inv_SY!$Y125-1,"")</f>
        <v>0.34346741510690726</v>
      </c>
      <c r="N123" s="55">
        <f>IFERROR(Inv_SY!N125/Inv_SY!$Y125-1,"")</f>
        <v>0.28454343567976781</v>
      </c>
      <c r="O123" s="55">
        <f>IFERROR(Inv_SY!O125/Inv_SY!$Y125-1,"")</f>
        <v>0.30449993560325384</v>
      </c>
      <c r="P123" s="55">
        <f>IFERROR(Inv_SY!P125/Inv_SY!$Y125-1,"")</f>
        <v>0.27618153290405223</v>
      </c>
      <c r="Q123" s="55">
        <f>IFERROR(Inv_SY!Q125/Inv_SY!$Y125-1,"")</f>
        <v>-1</v>
      </c>
      <c r="R123" s="55">
        <f>IFERROR(Inv_SY!R125/Inv_SY!$Y125-1,"")</f>
        <v>2.6509701605567759E-2</v>
      </c>
      <c r="S123" s="55">
        <f>IFERROR(Inv_SY!S125/Inv_SY!$Y125-1,"")</f>
        <v>4.6751013068990321E-2</v>
      </c>
      <c r="T123" s="55">
        <f>IFERROR(Inv_SY!T125/Inv_SY!$Y125-1,"")</f>
        <v>4.4785600608671094E-2</v>
      </c>
      <c r="U123" s="55">
        <f>IFERROR(Inv_SY!U125/Inv_SY!$Y125-1,"")</f>
        <v>7.3301558324441185E-3</v>
      </c>
      <c r="V123" s="55">
        <f>IFERROR(Inv_SY!J125/Inv_SY!$Z125-1,"")</f>
        <v>0.29433586069383288</v>
      </c>
      <c r="W123" s="55">
        <f>IFERROR(Inv_SY!K125/Inv_SY!$Z125-1,"")</f>
        <v>0.2931011215746262</v>
      </c>
      <c r="X123" s="55">
        <f>IFERROR(Inv_SY!L125/Inv_SY!$Z125-1,"")</f>
        <v>-1</v>
      </c>
      <c r="Y123" s="55">
        <f>IFERROR(Inv_SY!M125/Inv_SY!$Z125-1,"")</f>
        <v>0.30388581648460788</v>
      </c>
      <c r="Z123" s="55">
        <f>IFERROR(Inv_SY!N125/Inv_SY!$Z125-1,"")</f>
        <v>0.24669787120067688</v>
      </c>
      <c r="AA123" s="55">
        <f>IFERROR(Inv_SY!O125/Inv_SY!$Z125-1,"")</f>
        <v>0.26606640735146914</v>
      </c>
      <c r="AB123" s="55">
        <f>IFERROR(Inv_SY!P125/Inv_SY!$Z125-1,"")</f>
        <v>0.23858232905542032</v>
      </c>
      <c r="AC123" s="55">
        <f>IFERROR(Inv_SY!Q125/Inv_SY!$Z125-1,"")</f>
        <v>-1</v>
      </c>
      <c r="AD123" s="55">
        <f>IFERROR(Inv_SY!R125/Inv_SY!$Z125-1,"")</f>
        <v>-3.7336035419669455E-3</v>
      </c>
      <c r="AE123" s="55">
        <f>IFERROR(Inv_SY!S125/Inv_SY!$Z125-1,"")</f>
        <v>1.5911352954505853E-2</v>
      </c>
      <c r="AF123" s="55">
        <f>IFERROR(Inv_SY!T125/Inv_SY!$Z125-1,"")</f>
        <v>1.4003846005147924E-2</v>
      </c>
      <c r="AG123" s="55">
        <f>IFERROR(Inv_SY!U125/Inv_SY!$Z125-1,"")</f>
        <v>-2.2348076374717696E-2</v>
      </c>
      <c r="AH123" s="55">
        <f>IFERROR(Inv_SY!V125/Inv_SY!$Y125-1,"")</f>
        <v>1.720986740962438E-3</v>
      </c>
      <c r="AI123" s="55">
        <f>IFERROR(Inv_SY!W125/Inv_SY!$Y125-1,"")</f>
        <v>-3.2077631565134657E-2</v>
      </c>
      <c r="AJ123" s="55">
        <f>IFERROR(Inv_SY!X125/Inv_SY!$Y125-1,"")</f>
        <v>3.0356644824172552E-2</v>
      </c>
      <c r="AK123" s="55">
        <f>IFERROR(Inv_SY!V125/Inv_SY!$Z125-1,"")</f>
        <v>-2.7791986616533926E-2</v>
      </c>
      <c r="AL123" s="55">
        <f>IFERROR(Inv_SY!W125/Inv_SY!$Z125-1,"")</f>
        <v>-6.0594820932087456E-2</v>
      </c>
      <c r="AM123" s="55">
        <f>IFERROR(Inv_SY!X125/Inv_SY!$Z125-1,"")</f>
        <v>0</v>
      </c>
    </row>
    <row r="124" spans="1:39" x14ac:dyDescent="0.3">
      <c r="A124" s="273">
        <f>YEAR(Table5[[#This Row],[Date]])+IF(MONTH(Table5[[#This Row],[Date]])&gt;=4,1,0)</f>
        <v>2026</v>
      </c>
      <c r="B124" s="273"/>
      <c r="C124" s="273">
        <f>YEAR(Table5[[#This Row],[Date]])</f>
        <v>2025</v>
      </c>
      <c r="D124" s="273"/>
      <c r="E124" s="273"/>
      <c r="F124" s="274" t="str">
        <f>TEXT(Table5[[#This Row],[Date]],"mmm-yy")</f>
        <v>Jul-25</v>
      </c>
      <c r="G124" s="273">
        <f t="shared" si="7"/>
        <v>31</v>
      </c>
      <c r="H124" s="275">
        <f t="shared" si="8"/>
        <v>45867</v>
      </c>
      <c r="I124" s="273">
        <v>8.02</v>
      </c>
      <c r="J124" s="55">
        <f>IFERROR(Inv_SY!J126/Inv_SY!$Y126-1,"")</f>
        <v>0.33154721232445628</v>
      </c>
      <c r="K124" s="55">
        <f>IFERROR(Inv_SY!K126/Inv_SY!$Y126-1,"")</f>
        <v>0.33025993098028938</v>
      </c>
      <c r="L124" s="55">
        <f>IFERROR(Inv_SY!L126/Inv_SY!$Y126-1,"")</f>
        <v>-1</v>
      </c>
      <c r="M124" s="55">
        <f>IFERROR(Inv_SY!M126/Inv_SY!$Y126-1,"")</f>
        <v>0.34375825901264756</v>
      </c>
      <c r="N124" s="55">
        <f>IFERROR(Inv_SY!N126/Inv_SY!$Y126-1,"")</f>
        <v>0.28846311064686381</v>
      </c>
      <c r="O124" s="55">
        <f>IFERROR(Inv_SY!O126/Inv_SY!$Y126-1,"")</f>
        <v>0.2800641274504958</v>
      </c>
      <c r="P124" s="55">
        <f>IFERROR(Inv_SY!P126/Inv_SY!$Y126-1,"")</f>
        <v>0.32834772934318468</v>
      </c>
      <c r="Q124" s="55">
        <f>IFERROR(Inv_SY!Q126/Inv_SY!$Y126-1,"")</f>
        <v>-1</v>
      </c>
      <c r="R124" s="55">
        <f>IFERROR(Inv_SY!R126/Inv_SY!$Y126-1,"")</f>
        <v>1.8814887631056987E-2</v>
      </c>
      <c r="S124" s="55">
        <f>IFERROR(Inv_SY!S126/Inv_SY!$Y126-1,"")</f>
        <v>3.9103031238189478E-2</v>
      </c>
      <c r="T124" s="55">
        <f>IFERROR(Inv_SY!T126/Inv_SY!$Y126-1,"")</f>
        <v>5.9602830240348403E-3</v>
      </c>
      <c r="U124" s="55">
        <f>IFERROR(Inv_SY!U126/Inv_SY!$Y126-1,"")</f>
        <v>3.3600373717212362E-2</v>
      </c>
      <c r="V124" s="55">
        <f>IFERROR(Inv_SY!J126/Inv_SY!$Z126-1,"")</f>
        <v>0.30110764827080172</v>
      </c>
      <c r="W124" s="55">
        <f>IFERROR(Inv_SY!K126/Inv_SY!$Z126-1,"")</f>
        <v>0.29984979455981819</v>
      </c>
      <c r="X124" s="55">
        <f>IFERROR(Inv_SY!L126/Inv_SY!$Z126-1,"")</f>
        <v>-1</v>
      </c>
      <c r="Y124" s="55">
        <f>IFERROR(Inv_SY!M126/Inv_SY!$Z126-1,"")</f>
        <v>0.31303954681134405</v>
      </c>
      <c r="Z124" s="55">
        <f>IFERROR(Inv_SY!N126/Inv_SY!$Z126-1,"")</f>
        <v>0.25900846193122407</v>
      </c>
      <c r="AA124" s="55">
        <f>IFERROR(Inv_SY!O126/Inv_SY!$Z126-1,"")</f>
        <v>0.25080148198087304</v>
      </c>
      <c r="AB124" s="55">
        <f>IFERROR(Inv_SY!P126/Inv_SY!$Z126-1,"")</f>
        <v>0.29798130641907128</v>
      </c>
      <c r="AC124" s="55">
        <f>IFERROR(Inv_SY!Q126/Inv_SY!$Z126-1,"")</f>
        <v>-1</v>
      </c>
      <c r="AD124" s="55">
        <f>IFERROR(Inv_SY!R126/Inv_SY!$Z126-1,"")</f>
        <v>-4.4755227605693948E-3</v>
      </c>
      <c r="AE124" s="55">
        <f>IFERROR(Inv_SY!S126/Inv_SY!$Z126-1,"")</f>
        <v>1.5348827868632675E-2</v>
      </c>
      <c r="AF124" s="55">
        <f>IFERROR(Inv_SY!T126/Inv_SY!$Z126-1,"")</f>
        <v>-1.7036267295114871E-2</v>
      </c>
      <c r="AG124" s="55">
        <f>IFERROR(Inv_SY!U126/Inv_SY!$Z126-1,"")</f>
        <v>9.9719627300245417E-3</v>
      </c>
      <c r="AH124" s="55">
        <f>IFERROR(Inv_SY!V126/Inv_SY!$Y126-1,"")</f>
        <v>7.5676634345089866E-4</v>
      </c>
      <c r="AI124" s="55">
        <f>IFERROR(Inv_SY!W126/Inv_SY!$Y126-1,"")</f>
        <v>-2.4151882108168543E-2</v>
      </c>
      <c r="AJ124" s="55">
        <f>IFERROR(Inv_SY!X126/Inv_SY!$Y126-1,"")</f>
        <v>2.3395115764717422E-2</v>
      </c>
      <c r="AK124" s="55">
        <f>IFERROR(Inv_SY!V126/Inv_SY!$Z126-1,"")</f>
        <v>-2.2120830041630901E-2</v>
      </c>
      <c r="AL124" s="55">
        <f>IFERROR(Inv_SY!W126/Inv_SY!$Z126-1,"")</f>
        <v>-4.64600594046779E-2</v>
      </c>
      <c r="AM124" s="55">
        <f>IFERROR(Inv_SY!X126/Inv_SY!$Z126-1,"")</f>
        <v>0</v>
      </c>
    </row>
    <row r="125" spans="1:39" x14ac:dyDescent="0.3">
      <c r="A125" s="273">
        <f>YEAR(Table5[[#This Row],[Date]])+IF(MONTH(Table5[[#This Row],[Date]])&gt;=4,1,0)</f>
        <v>2026</v>
      </c>
      <c r="B125" s="273"/>
      <c r="C125" s="273">
        <f>YEAR(Table5[[#This Row],[Date]])</f>
        <v>2025</v>
      </c>
      <c r="D125" s="273"/>
      <c r="E125" s="273"/>
      <c r="F125" s="274" t="str">
        <f>TEXT(Table5[[#This Row],[Date]],"mmm-yy")</f>
        <v>Jul-25</v>
      </c>
      <c r="G125" s="273">
        <f t="shared" si="7"/>
        <v>31</v>
      </c>
      <c r="H125" s="275">
        <f t="shared" si="8"/>
        <v>45868</v>
      </c>
      <c r="I125" s="273">
        <v>8.02</v>
      </c>
      <c r="J125" s="55">
        <f>IFERROR(Inv_SY!J127/Inv_SY!$Y127-1,"")</f>
        <v>0.36663439288737298</v>
      </c>
      <c r="K125" s="55">
        <f>IFERROR(Inv_SY!K127/Inv_SY!$Y127-1,"")</f>
        <v>0.32068803441810978</v>
      </c>
      <c r="L125" s="55">
        <f>IFERROR(Inv_SY!L127/Inv_SY!$Y127-1,"")</f>
        <v>-1</v>
      </c>
      <c r="M125" s="55">
        <f>IFERROR(Inv_SY!M127/Inv_SY!$Y127-1,"")</f>
        <v>0.27183436325507637</v>
      </c>
      <c r="N125" s="55">
        <f>IFERROR(Inv_SY!N127/Inv_SY!$Y127-1,"")</f>
        <v>0.35769352518224573</v>
      </c>
      <c r="O125" s="55">
        <f>IFERROR(Inv_SY!O127/Inv_SY!$Y127-1,"")</f>
        <v>0.27843701114843511</v>
      </c>
      <c r="P125" s="55">
        <f>IFERROR(Inv_SY!P127/Inv_SY!$Y127-1,"")</f>
        <v>0.27762886024058875</v>
      </c>
      <c r="Q125" s="55">
        <f>IFERROR(Inv_SY!Q127/Inv_SY!$Y127-1,"")</f>
        <v>-1</v>
      </c>
      <c r="R125" s="55">
        <f>IFERROR(Inv_SY!R127/Inv_SY!$Y127-1,"")</f>
        <v>9.1864033231339182E-2</v>
      </c>
      <c r="S125" s="55">
        <f>IFERROR(Inv_SY!S127/Inv_SY!$Y127-1,"")</f>
        <v>1.3182356598036682E-2</v>
      </c>
      <c r="T125" s="55">
        <f>IFERROR(Inv_SY!T127/Inv_SY!$Y127-1,"")</f>
        <v>1.4147492484673174E-2</v>
      </c>
      <c r="U125" s="55">
        <f>IFERROR(Inv_SY!U127/Inv_SY!$Y127-1,"")</f>
        <v>8.555281332290221E-3</v>
      </c>
      <c r="V125" s="55">
        <f>IFERROR(Inv_SY!J127/Inv_SY!$Z127-1,"")</f>
        <v>0.32555848837886847</v>
      </c>
      <c r="W125" s="55">
        <f>IFERROR(Inv_SY!K127/Inv_SY!$Z127-1,"")</f>
        <v>0.28099310513079034</v>
      </c>
      <c r="X125" s="55">
        <f>IFERROR(Inv_SY!L127/Inv_SY!$Z127-1,"")</f>
        <v>-1</v>
      </c>
      <c r="Y125" s="55">
        <f>IFERROR(Inv_SY!M127/Inv_SY!$Z127-1,"")</f>
        <v>0.23360779210510985</v>
      </c>
      <c r="Z125" s="55">
        <f>IFERROR(Inv_SY!N127/Inv_SY!$Z127-1,"")</f>
        <v>0.31688634962567597</v>
      </c>
      <c r="AA125" s="55">
        <f>IFERROR(Inv_SY!O127/Inv_SY!$Z127-1,"")</f>
        <v>0.24001198916495947</v>
      </c>
      <c r="AB125" s="55">
        <f>IFERROR(Inv_SY!P127/Inv_SY!$Z127-1,"")</f>
        <v>0.23922812824256345</v>
      </c>
      <c r="AC125" s="55">
        <f>IFERROR(Inv_SY!Q127/Inv_SY!$Z127-1,"")</f>
        <v>-1</v>
      </c>
      <c r="AD125" s="55">
        <f>IFERROR(Inv_SY!R127/Inv_SY!$Z127-1,"")</f>
        <v>5.9046695252214176E-2</v>
      </c>
      <c r="AE125" s="55">
        <f>IFERROR(Inv_SY!S127/Inv_SY!$Z127-1,"")</f>
        <v>-1.7270105264418634E-2</v>
      </c>
      <c r="AF125" s="55">
        <f>IFERROR(Inv_SY!T127/Inv_SY!$Z127-1,"")</f>
        <v>-1.6333977742948314E-2</v>
      </c>
      <c r="AG125" s="55">
        <f>IFERROR(Inv_SY!U127/Inv_SY!$Z127-1,"")</f>
        <v>-2.1758108000775822E-2</v>
      </c>
      <c r="AH125" s="55">
        <f>IFERROR(Inv_SY!V127/Inv_SY!$Y127-1,"")</f>
        <v>-1.1063906300562087E-2</v>
      </c>
      <c r="AI125" s="55">
        <f>IFERROR(Inv_SY!W127/Inv_SY!$Y127-1,"")</f>
        <v>-1.9923715044415369E-2</v>
      </c>
      <c r="AJ125" s="55">
        <f>IFERROR(Inv_SY!X127/Inv_SY!$Y127-1,"")</f>
        <v>3.0987621344977123E-2</v>
      </c>
      <c r="AK125" s="55">
        <f>IFERROR(Inv_SY!V127/Inv_SY!$Z127-1,"")</f>
        <v>-4.0787616431980811E-2</v>
      </c>
      <c r="AL125" s="55">
        <f>IFERROR(Inv_SY!W127/Inv_SY!$Z127-1,"")</f>
        <v>-4.9381132552276497E-2</v>
      </c>
      <c r="AM125" s="55">
        <f>IFERROR(Inv_SY!X127/Inv_SY!$Z127-1,"")</f>
        <v>0</v>
      </c>
    </row>
    <row r="126" spans="1:39" x14ac:dyDescent="0.3">
      <c r="A126" s="273">
        <f>YEAR(Table5[[#This Row],[Date]])+IF(MONTH(Table5[[#This Row],[Date]])&gt;=4,1,0)</f>
        <v>2026</v>
      </c>
      <c r="B126" s="273"/>
      <c r="C126" s="273">
        <f>YEAR(Table5[[#This Row],[Date]])</f>
        <v>2025</v>
      </c>
      <c r="D126" s="273"/>
      <c r="E126" s="273"/>
      <c r="F126" s="274" t="str">
        <f>TEXT(Table5[[#This Row],[Date]],"mmm-yy")</f>
        <v>Jul-25</v>
      </c>
      <c r="G126" s="273">
        <f t="shared" si="7"/>
        <v>31</v>
      </c>
      <c r="H126" s="275">
        <f t="shared" si="8"/>
        <v>45869</v>
      </c>
      <c r="I126" s="273">
        <v>8.02</v>
      </c>
      <c r="J126" s="55">
        <f>IFERROR(Inv_SY!J128/Inv_SY!$Y128-1,"")</f>
        <v>0.3169572470007409</v>
      </c>
      <c r="K126" s="55">
        <f>IFERROR(Inv_SY!K128/Inv_SY!$Y128-1,"")</f>
        <v>0.33850904118786573</v>
      </c>
      <c r="L126" s="55">
        <f>IFERROR(Inv_SY!L128/Inv_SY!$Y128-1,"")</f>
        <v>-1</v>
      </c>
      <c r="M126" s="55">
        <f>IFERROR(Inv_SY!M128/Inv_SY!$Y128-1,"")</f>
        <v>0.29737877010350888</v>
      </c>
      <c r="N126" s="55">
        <f>IFERROR(Inv_SY!N128/Inv_SY!$Y128-1,"")</f>
        <v>0.29904504582906499</v>
      </c>
      <c r="O126" s="55">
        <f>IFERROR(Inv_SY!O128/Inv_SY!$Y128-1,"")</f>
        <v>0.31358133613452011</v>
      </c>
      <c r="P126" s="55">
        <f>IFERROR(Inv_SY!P128/Inv_SY!$Y128-1,"")</f>
        <v>0.29159570038167093</v>
      </c>
      <c r="Q126" s="55">
        <f>IFERROR(Inv_SY!Q128/Inv_SY!$Y128-1,"")</f>
        <v>-1</v>
      </c>
      <c r="R126" s="55">
        <f>IFERROR(Inv_SY!R128/Inv_SY!$Y128-1,"")</f>
        <v>3.3094803268071571E-2</v>
      </c>
      <c r="S126" s="55">
        <f>IFERROR(Inv_SY!S128/Inv_SY!$Y128-1,"")</f>
        <v>7.768373836639153E-2</v>
      </c>
      <c r="T126" s="55">
        <f>IFERROR(Inv_SY!T128/Inv_SY!$Y128-1,"")</f>
        <v>1.9774922510022552E-2</v>
      </c>
      <c r="U126" s="55">
        <f>IFERROR(Inv_SY!U128/Inv_SY!$Y128-1,"")</f>
        <v>1.353347244493186E-2</v>
      </c>
      <c r="V126" s="55">
        <f>IFERROR(Inv_SY!J128/Inv_SY!$Z128-1,"")</f>
        <v>0.27261673253712049</v>
      </c>
      <c r="W126" s="55">
        <f>IFERROR(Inv_SY!K128/Inv_SY!$Z128-1,"")</f>
        <v>0.29344290131457651</v>
      </c>
      <c r="X126" s="55">
        <f>IFERROR(Inv_SY!L128/Inv_SY!$Z128-1,"")</f>
        <v>-1</v>
      </c>
      <c r="Y126" s="55">
        <f>IFERROR(Inv_SY!M128/Inv_SY!$Z128-1,"")</f>
        <v>0.25369744160816055</v>
      </c>
      <c r="Z126" s="55">
        <f>IFERROR(Inv_SY!N128/Inv_SY!$Z128-1,"")</f>
        <v>0.25530761564698579</v>
      </c>
      <c r="AA126" s="55">
        <f>IFERROR(Inv_SY!O128/Inv_SY!$Z128-1,"")</f>
        <v>0.26935448490858827</v>
      </c>
      <c r="AB126" s="55">
        <f>IFERROR(Inv_SY!P128/Inv_SY!$Z128-1,"")</f>
        <v>0.24810908153785416</v>
      </c>
      <c r="AC126" s="55">
        <f>IFERROR(Inv_SY!Q128/Inv_SY!$Z128-1,"")</f>
        <v>-1</v>
      </c>
      <c r="AD126" s="55">
        <f>IFERROR(Inv_SY!R128/Inv_SY!$Z128-1,"")</f>
        <v>-1.6883722457295969E-3</v>
      </c>
      <c r="AE126" s="55">
        <f>IFERROR(Inv_SY!S128/Inv_SY!$Z128-1,"")</f>
        <v>4.1399302028712448E-2</v>
      </c>
      <c r="AF126" s="55">
        <f>IFERROR(Inv_SY!T128/Inv_SY!$Z128-1,"")</f>
        <v>-1.4559787142983893E-2</v>
      </c>
      <c r="AG126" s="55">
        <f>IFERROR(Inv_SY!U128/Inv_SY!$Z128-1,"")</f>
        <v>-2.0591094390215225E-2</v>
      </c>
      <c r="AH126" s="55">
        <f>IFERROR(Inv_SY!V128/Inv_SY!$Y128-1,"")</f>
        <v>-1.2529970403949098E-2</v>
      </c>
      <c r="AI126" s="55">
        <f>IFERROR(Inv_SY!W128/Inv_SY!$Y128-1,"")</f>
        <v>-2.2312031378647457E-2</v>
      </c>
      <c r="AJ126" s="55">
        <f>IFERROR(Inv_SY!X128/Inv_SY!$Y128-1,"")</f>
        <v>3.4842001782596554E-2</v>
      </c>
      <c r="AK126" s="55">
        <f>IFERROR(Inv_SY!V128/Inv_SY!$Z128-1,"")</f>
        <v>-4.5777009538599756E-2</v>
      </c>
      <c r="AL126" s="55">
        <f>IFERROR(Inv_SY!W128/Inv_SY!$Z128-1,"")</f>
        <v>-5.5229719186882242E-2</v>
      </c>
      <c r="AM126" s="55">
        <f>IFERROR(Inv_SY!X128/Inv_SY!$Z128-1,"")</f>
        <v>0</v>
      </c>
    </row>
    <row r="127" spans="1:39" x14ac:dyDescent="0.3">
      <c r="A127" s="273">
        <f>YEAR(Table5[[#This Row],[Date]])+IF(MONTH(Table5[[#This Row],[Date]])&gt;=4,1,0)</f>
        <v>2026</v>
      </c>
      <c r="B127" s="273"/>
      <c r="C127" s="273">
        <f>YEAR(Table5[[#This Row],[Date]])</f>
        <v>2025</v>
      </c>
      <c r="D127" s="273"/>
      <c r="E127" s="273"/>
      <c r="F127" s="274" t="str">
        <f>TEXT(Table5[[#This Row],[Date]],"mmm-yy")</f>
        <v>Aug-25</v>
      </c>
      <c r="G127" s="273">
        <f t="shared" si="7"/>
        <v>31</v>
      </c>
      <c r="H127" s="275">
        <f t="shared" si="8"/>
        <v>45870</v>
      </c>
      <c r="I127" s="273">
        <v>8.02</v>
      </c>
      <c r="J127" s="55">
        <f>IFERROR(Inv_SY!J129/Inv_SY!$Y129-1,"")</f>
        <v>0.32133896122336392</v>
      </c>
      <c r="K127" s="55">
        <f>IFERROR(Inv_SY!K129/Inv_SY!$Y129-1,"")</f>
        <v>0.32092183139102048</v>
      </c>
      <c r="L127" s="55">
        <f>IFERROR(Inv_SY!L129/Inv_SY!$Y129-1,"")</f>
        <v>-1</v>
      </c>
      <c r="M127" s="55">
        <f>IFERROR(Inv_SY!M129/Inv_SY!$Y129-1,"")</f>
        <v>0.32575371261134101</v>
      </c>
      <c r="N127" s="55">
        <f>IFERROR(Inv_SY!N129/Inv_SY!$Y129-1,"")</f>
        <v>0.29548322379712122</v>
      </c>
      <c r="O127" s="55">
        <f>IFERROR(Inv_SY!O129/Inv_SY!$Y129-1,"")</f>
        <v>0.28609070136796011</v>
      </c>
      <c r="P127" s="55">
        <f>IFERROR(Inv_SY!P129/Inv_SY!$Y129-1,"")</f>
        <v>0.31769262579107549</v>
      </c>
      <c r="Q127" s="55">
        <f>IFERROR(Inv_SY!Q129/Inv_SY!$Y129-1,"")</f>
        <v>-1</v>
      </c>
      <c r="R127" s="55">
        <f>IFERROR(Inv_SY!R129/Inv_SY!$Y129-1,"")</f>
        <v>3.0356082159986864E-2</v>
      </c>
      <c r="S127" s="55">
        <f>IFERROR(Inv_SY!S129/Inv_SY!$Y129-1,"")</f>
        <v>5.065050314344699E-2</v>
      </c>
      <c r="T127" s="55">
        <f>IFERROR(Inv_SY!T129/Inv_SY!$Y129-1,"")</f>
        <v>4.1506452626790091E-2</v>
      </c>
      <c r="U127" s="55">
        <f>IFERROR(Inv_SY!U129/Inv_SY!$Y129-1,"")</f>
        <v>1.0322867953875159E-2</v>
      </c>
      <c r="V127" s="55">
        <f>IFERROR(Inv_SY!J129/Inv_SY!$Z129-1,"")</f>
        <v>0.28011953778810494</v>
      </c>
      <c r="W127" s="55">
        <f>IFERROR(Inv_SY!K129/Inv_SY!$Z129-1,"")</f>
        <v>0.27971542040123643</v>
      </c>
      <c r="X127" s="55">
        <f>IFERROR(Inv_SY!L129/Inv_SY!$Z129-1,"")</f>
        <v>-1</v>
      </c>
      <c r="Y127" s="55">
        <f>IFERROR(Inv_SY!M129/Inv_SY!$Z129-1,"")</f>
        <v>0.28439657015608577</v>
      </c>
      <c r="Z127" s="55">
        <f>IFERROR(Inv_SY!N129/Inv_SY!$Z129-1,"")</f>
        <v>0.25507037507166763</v>
      </c>
      <c r="AA127" s="55">
        <f>IFERROR(Inv_SY!O129/Inv_SY!$Z129-1,"")</f>
        <v>0.2459708541890393</v>
      </c>
      <c r="AB127" s="55">
        <f>IFERROR(Inv_SY!P129/Inv_SY!$Z129-1,"")</f>
        <v>0.27658695049204884</v>
      </c>
      <c r="AC127" s="55">
        <f>IFERROR(Inv_SY!Q129/Inv_SY!$Z129-1,"")</f>
        <v>-1</v>
      </c>
      <c r="AD127" s="55">
        <f>IFERROR(Inv_SY!R129/Inv_SY!$Z129-1,"")</f>
        <v>-1.786074308574026E-3</v>
      </c>
      <c r="AE127" s="55">
        <f>IFERROR(Inv_SY!S129/Inv_SY!$Z129-1,"")</f>
        <v>1.7875258302833652E-2</v>
      </c>
      <c r="AF127" s="55">
        <f>IFERROR(Inv_SY!T129/Inv_SY!$Z129-1,"")</f>
        <v>9.0164582035339169E-3</v>
      </c>
      <c r="AG127" s="55">
        <f>IFERROR(Inv_SY!U129/Inv_SY!$Z129-1,"")</f>
        <v>-2.1194348538370655E-2</v>
      </c>
      <c r="AH127" s="55">
        <f>IFERROR(Inv_SY!V129/Inv_SY!$Y129-1,"")</f>
        <v>-8.6466812160067574E-3</v>
      </c>
      <c r="AI127" s="55">
        <f>IFERROR(Inv_SY!W129/Inv_SY!$Y129-1,"")</f>
        <v>-2.3552986251362262E-2</v>
      </c>
      <c r="AJ127" s="55">
        <f>IFERROR(Inv_SY!X129/Inv_SY!$Y129-1,"")</f>
        <v>3.219966746736902E-2</v>
      </c>
      <c r="AK127" s="55">
        <f>IFERROR(Inv_SY!V129/Inv_SY!$Z129-1,"")</f>
        <v>-3.9572138967644999E-2</v>
      </c>
      <c r="AL127" s="55">
        <f>IFERROR(Inv_SY!W129/Inv_SY!$Z129-1,"")</f>
        <v>-5.4013438945904046E-2</v>
      </c>
      <c r="AM127" s="55">
        <f>IFERROR(Inv_SY!X129/Inv_SY!$Z129-1,"")</f>
        <v>0</v>
      </c>
    </row>
    <row r="128" spans="1:39" x14ac:dyDescent="0.3">
      <c r="A128" s="273">
        <f>YEAR(Table5[[#This Row],[Date]])+IF(MONTH(Table5[[#This Row],[Date]])&gt;=4,1,0)</f>
        <v>2026</v>
      </c>
      <c r="B128" s="273"/>
      <c r="C128" s="273">
        <f>YEAR(Table5[[#This Row],[Date]])</f>
        <v>2025</v>
      </c>
      <c r="D128" s="273"/>
      <c r="E128" s="273"/>
      <c r="F128" s="274" t="str">
        <f>TEXT(Table5[[#This Row],[Date]],"mmm-yy")</f>
        <v>Aug-25</v>
      </c>
      <c r="G128" s="273">
        <f t="shared" si="7"/>
        <v>31</v>
      </c>
      <c r="H128" s="275">
        <f t="shared" si="8"/>
        <v>45871</v>
      </c>
      <c r="I128" s="273">
        <v>8.02</v>
      </c>
      <c r="J128" s="55">
        <f>IFERROR(Inv_SY!J130/Inv_SY!$Y130-1,"")</f>
        <v>0.36436320621989604</v>
      </c>
      <c r="K128" s="55">
        <f>IFERROR(Inv_SY!K130/Inv_SY!$Y130-1,"")</f>
        <v>0.33215209841449522</v>
      </c>
      <c r="L128" s="55">
        <f>IFERROR(Inv_SY!L130/Inv_SY!$Y130-1,"")</f>
        <v>-1</v>
      </c>
      <c r="M128" s="55">
        <f>IFERROR(Inv_SY!M130/Inv_SY!$Y130-1,"")</f>
        <v>0.31194409730743478</v>
      </c>
      <c r="N128" s="55">
        <f>IFERROR(Inv_SY!N130/Inv_SY!$Y130-1,"")</f>
        <v>0.33756922086034624</v>
      </c>
      <c r="O128" s="55">
        <f>IFERROR(Inv_SY!O130/Inv_SY!$Y130-1,"")</f>
        <v>0.29597977209593695</v>
      </c>
      <c r="P128" s="55">
        <f>IFERROR(Inv_SY!P130/Inv_SY!$Y130-1,"")</f>
        <v>0.29881463061520663</v>
      </c>
      <c r="Q128" s="55">
        <f>IFERROR(Inv_SY!Q130/Inv_SY!$Y130-1,"")</f>
        <v>-1</v>
      </c>
      <c r="R128" s="55">
        <f>IFERROR(Inv_SY!R130/Inv_SY!$Y130-1,"")</f>
        <v>1.0895741166073503E-2</v>
      </c>
      <c r="S128" s="55">
        <f>IFERROR(Inv_SY!S130/Inv_SY!$Y130-1,"")</f>
        <v>3.0401646571162066E-2</v>
      </c>
      <c r="T128" s="55">
        <f>IFERROR(Inv_SY!T130/Inv_SY!$Y130-1,"")</f>
        <v>-2.4509185173143822E-3</v>
      </c>
      <c r="U128" s="55">
        <f>IFERROR(Inv_SY!U130/Inv_SY!$Y130-1,"")</f>
        <v>2.0725309932778435E-2</v>
      </c>
      <c r="V128" s="55">
        <f>IFERROR(Inv_SY!J130/Inv_SY!$Z130-1,"")</f>
        <v>0.34563668751216969</v>
      </c>
      <c r="W128" s="55">
        <f>IFERROR(Inv_SY!K130/Inv_SY!$Z130-1,"")</f>
        <v>0.31386769212241039</v>
      </c>
      <c r="X128" s="55">
        <f>IFERROR(Inv_SY!L130/Inv_SY!$Z130-1,"")</f>
        <v>-1</v>
      </c>
      <c r="Y128" s="55">
        <f>IFERROR(Inv_SY!M130/Inv_SY!$Z130-1,"")</f>
        <v>0.29393705521650393</v>
      </c>
      <c r="Z128" s="55">
        <f>IFERROR(Inv_SY!N130/Inv_SY!$Z130-1,"")</f>
        <v>0.31921046204661474</v>
      </c>
      <c r="AA128" s="55">
        <f>IFERROR(Inv_SY!O130/Inv_SY!$Z130-1,"")</f>
        <v>0.27819184778344397</v>
      </c>
      <c r="AB128" s="55">
        <f>IFERROR(Inv_SY!P130/Inv_SY!$Z130-1,"")</f>
        <v>0.28098779655283712</v>
      </c>
      <c r="AC128" s="55">
        <f>IFERROR(Inv_SY!Q130/Inv_SY!$Z130-1,"")</f>
        <v>-1</v>
      </c>
      <c r="AD128" s="55">
        <f>IFERROR(Inv_SY!R130/Inv_SY!$Z130-1,"")</f>
        <v>-2.9792724096417977E-3</v>
      </c>
      <c r="AE128" s="55">
        <f>IFERROR(Inv_SY!S130/Inv_SY!$Z130-1,"")</f>
        <v>1.6258905383902844E-2</v>
      </c>
      <c r="AF128" s="55">
        <f>IFERROR(Inv_SY!T130/Inv_SY!$Z130-1,"")</f>
        <v>-1.6142742989785575E-2</v>
      </c>
      <c r="AG128" s="55">
        <f>IFERROR(Inv_SY!U130/Inv_SY!$Z130-1,"")</f>
        <v>6.7153809602249481E-3</v>
      </c>
      <c r="AH128" s="55">
        <f>IFERROR(Inv_SY!V130/Inv_SY!$Y130-1,"")</f>
        <v>1.3484048805636473E-3</v>
      </c>
      <c r="AI128" s="55">
        <f>IFERROR(Inv_SY!W130/Inv_SY!$Y130-1,"")</f>
        <v>-1.5264879424928823E-2</v>
      </c>
      <c r="AJ128" s="55">
        <f>IFERROR(Inv_SY!X130/Inv_SY!$Y130-1,"")</f>
        <v>1.3916474544364732E-2</v>
      </c>
      <c r="AK128" s="55">
        <f>IFERROR(Inv_SY!V130/Inv_SY!$Z130-1,"")</f>
        <v>-1.2395567070205726E-2</v>
      </c>
      <c r="AL128" s="55">
        <f>IFERROR(Inv_SY!W130/Inv_SY!$Z130-1,"")</f>
        <v>-2.8780826332274745E-2</v>
      </c>
      <c r="AM128" s="55">
        <f>IFERROR(Inv_SY!X130/Inv_SY!$Z130-1,"")</f>
        <v>0</v>
      </c>
    </row>
    <row r="129" spans="1:39" x14ac:dyDescent="0.3">
      <c r="A129" s="273">
        <f>YEAR(Table5[[#This Row],[Date]])+IF(MONTH(Table5[[#This Row],[Date]])&gt;=4,1,0)</f>
        <v>2026</v>
      </c>
      <c r="B129" s="273"/>
      <c r="C129" s="273">
        <f>YEAR(Table5[[#This Row],[Date]])</f>
        <v>2025</v>
      </c>
      <c r="D129" s="273"/>
      <c r="E129" s="273"/>
      <c r="F129" s="274" t="str">
        <f>TEXT(Table5[[#This Row],[Date]],"mmm-yy")</f>
        <v>Aug-25</v>
      </c>
      <c r="G129" s="273">
        <f t="shared" si="7"/>
        <v>31</v>
      </c>
      <c r="H129" s="275">
        <f t="shared" si="8"/>
        <v>45872</v>
      </c>
      <c r="I129" s="273">
        <v>8.02</v>
      </c>
      <c r="J129" s="55">
        <f>IFERROR(Inv_SY!J131/Inv_SY!$Y131-1,"")</f>
        <v>0.33838575335692567</v>
      </c>
      <c r="K129" s="55">
        <f>IFERROR(Inv_SY!K131/Inv_SY!$Y131-1,"")</f>
        <v>0.36162147632840025</v>
      </c>
      <c r="L129" s="55">
        <f>IFERROR(Inv_SY!L131/Inv_SY!$Y131-1,"")</f>
        <v>-1</v>
      </c>
      <c r="M129" s="55">
        <f>IFERROR(Inv_SY!M131/Inv_SY!$Y131-1,"")</f>
        <v>0.31774014504893811</v>
      </c>
      <c r="N129" s="55">
        <f>IFERROR(Inv_SY!N131/Inv_SY!$Y131-1,"")</f>
        <v>0.3060865495113323</v>
      </c>
      <c r="O129" s="55">
        <f>IFERROR(Inv_SY!O131/Inv_SY!$Y131-1,"")</f>
        <v>0.32203705267207816</v>
      </c>
      <c r="P129" s="55">
        <f>IFERROR(Inv_SY!P131/Inv_SY!$Y131-1,"")</f>
        <v>0.29796704273441477</v>
      </c>
      <c r="Q129" s="55">
        <f>IFERROR(Inv_SY!Q131/Inv_SY!$Y131-1,"")</f>
        <v>-1</v>
      </c>
      <c r="R129" s="55">
        <f>IFERROR(Inv_SY!R131/Inv_SY!$Y131-1,"")</f>
        <v>3.4888900433694969E-2</v>
      </c>
      <c r="S129" s="55">
        <f>IFERROR(Inv_SY!S131/Inv_SY!$Y131-1,"")</f>
        <v>3.1148574694912279E-2</v>
      </c>
      <c r="T129" s="55">
        <f>IFERROR(Inv_SY!T131/Inv_SY!$Y131-1,"")</f>
        <v>-1.6287998280893889E-3</v>
      </c>
      <c r="U129" s="55">
        <f>IFERROR(Inv_SY!U131/Inv_SY!$Y131-1,"")</f>
        <v>-7.538211827187391E-3</v>
      </c>
      <c r="V129" s="55">
        <f>IFERROR(Inv_SY!J131/Inv_SY!$Z131-1,"")</f>
        <v>0.32100648879620497</v>
      </c>
      <c r="W129" s="55">
        <f>IFERROR(Inv_SY!K131/Inv_SY!$Z131-1,"")</f>
        <v>0.34394049025296058</v>
      </c>
      <c r="X129" s="55">
        <f>IFERROR(Inv_SY!L131/Inv_SY!$Z131-1,"")</f>
        <v>-1</v>
      </c>
      <c r="Y129" s="55">
        <f>IFERROR(Inv_SY!M131/Inv_SY!$Z131-1,"")</f>
        <v>0.30062896873400269</v>
      </c>
      <c r="Z129" s="55">
        <f>IFERROR(Inv_SY!N131/Inv_SY!$Z131-1,"")</f>
        <v>0.28912669796911183</v>
      </c>
      <c r="AA129" s="55">
        <f>IFERROR(Inv_SY!O131/Inv_SY!$Z131-1,"")</f>
        <v>0.30487007996646232</v>
      </c>
      <c r="AB129" s="55">
        <f>IFERROR(Inv_SY!P131/Inv_SY!$Z131-1,"")</f>
        <v>0.28111262496270828</v>
      </c>
      <c r="AC129" s="55">
        <f>IFERROR(Inv_SY!Q131/Inv_SY!$Z131-1,"")</f>
        <v>-1</v>
      </c>
      <c r="AD129" s="55">
        <f>IFERROR(Inv_SY!R131/Inv_SY!$Z131-1,"")</f>
        <v>2.1450616331761374E-2</v>
      </c>
      <c r="AE129" s="55">
        <f>IFERROR(Inv_SY!S131/Inv_SY!$Z131-1,"")</f>
        <v>1.775885963250623E-2</v>
      </c>
      <c r="AF129" s="55">
        <f>IFERROR(Inv_SY!T131/Inv_SY!$Z131-1,"")</f>
        <v>-1.4592892709437311E-2</v>
      </c>
      <c r="AG129" s="55">
        <f>IFERROR(Inv_SY!U131/Inv_SY!$Z131-1,"")</f>
        <v>-2.0425569556302037E-2</v>
      </c>
      <c r="AH129" s="55">
        <f>IFERROR(Inv_SY!V131/Inv_SY!$Y131-1,"")</f>
        <v>3.6796688519971088E-3</v>
      </c>
      <c r="AI129" s="55">
        <f>IFERROR(Inv_SY!W131/Inv_SY!$Y131-1,"")</f>
        <v>-1.6835746969795062E-2</v>
      </c>
      <c r="AJ129" s="55">
        <f>IFERROR(Inv_SY!X131/Inv_SY!$Y131-1,"")</f>
        <v>1.3156078117797954E-2</v>
      </c>
      <c r="AK129" s="55">
        <f>IFERROR(Inv_SY!V131/Inv_SY!$Z131-1,"")</f>
        <v>-9.353355786411055E-3</v>
      </c>
      <c r="AL129" s="55">
        <f>IFERROR(Inv_SY!W131/Inv_SY!$Z131-1,"")</f>
        <v>-2.9602373943519833E-2</v>
      </c>
      <c r="AM129" s="55">
        <f>IFERROR(Inv_SY!X131/Inv_SY!$Z131-1,"")</f>
        <v>0</v>
      </c>
    </row>
    <row r="130" spans="1:39" x14ac:dyDescent="0.3">
      <c r="A130" s="273">
        <f>YEAR(Table5[[#This Row],[Date]])+IF(MONTH(Table5[[#This Row],[Date]])&gt;=4,1,0)</f>
        <v>2026</v>
      </c>
      <c r="B130" s="273"/>
      <c r="C130" s="273">
        <f>YEAR(Table5[[#This Row],[Date]])</f>
        <v>2025</v>
      </c>
      <c r="D130" s="273"/>
      <c r="E130" s="273"/>
      <c r="F130" s="274" t="str">
        <f>TEXT(Table5[[#This Row],[Date]],"mmm-yy")</f>
        <v>Aug-25</v>
      </c>
      <c r="G130" s="273">
        <f t="shared" si="7"/>
        <v>31</v>
      </c>
      <c r="H130" s="275">
        <f t="shared" si="8"/>
        <v>45873</v>
      </c>
      <c r="I130" s="273">
        <v>8.02</v>
      </c>
      <c r="J130" s="55" t="str">
        <f>IFERROR(Inv_SY!J132/Inv_SY!$Y132-1,"")</f>
        <v/>
      </c>
      <c r="K130" s="55" t="str">
        <f>IFERROR(Inv_SY!K132/Inv_SY!$Y132-1,"")</f>
        <v/>
      </c>
      <c r="L130" s="55" t="str">
        <f>IFERROR(Inv_SY!L132/Inv_SY!$Y132-1,"")</f>
        <v/>
      </c>
      <c r="M130" s="55" t="str">
        <f>IFERROR(Inv_SY!M132/Inv_SY!$Y132-1,"")</f>
        <v/>
      </c>
      <c r="N130" s="55" t="str">
        <f>IFERROR(Inv_SY!N132/Inv_SY!$Y132-1,"")</f>
        <v/>
      </c>
      <c r="O130" s="55" t="str">
        <f>IFERROR(Inv_SY!O132/Inv_SY!$Y132-1,"")</f>
        <v/>
      </c>
      <c r="P130" s="55" t="str">
        <f>IFERROR(Inv_SY!P132/Inv_SY!$Y132-1,"")</f>
        <v/>
      </c>
      <c r="Q130" s="55" t="str">
        <f>IFERROR(Inv_SY!Q132/Inv_SY!$Y132-1,"")</f>
        <v/>
      </c>
      <c r="R130" s="55" t="str">
        <f>IFERROR(Inv_SY!R132/Inv_SY!$Y132-1,"")</f>
        <v/>
      </c>
      <c r="S130" s="55" t="str">
        <f>IFERROR(Inv_SY!S132/Inv_SY!$Y132-1,"")</f>
        <v/>
      </c>
      <c r="T130" s="55" t="str">
        <f>IFERROR(Inv_SY!T132/Inv_SY!$Y132-1,"")</f>
        <v/>
      </c>
      <c r="U130" s="55" t="str">
        <f>IFERROR(Inv_SY!U132/Inv_SY!$Y132-1,"")</f>
        <v/>
      </c>
      <c r="V130" s="55" t="str">
        <f>IFERROR(Inv_SY!J132/Inv_SY!$Z132-1,"")</f>
        <v/>
      </c>
      <c r="W130" s="55" t="str">
        <f>IFERROR(Inv_SY!K132/Inv_SY!$Z132-1,"")</f>
        <v/>
      </c>
      <c r="X130" s="55" t="str">
        <f>IFERROR(Inv_SY!L132/Inv_SY!$Z132-1,"")</f>
        <v/>
      </c>
      <c r="Y130" s="55" t="str">
        <f>IFERROR(Inv_SY!M132/Inv_SY!$Z132-1,"")</f>
        <v/>
      </c>
      <c r="Z130" s="55" t="str">
        <f>IFERROR(Inv_SY!N132/Inv_SY!$Z132-1,"")</f>
        <v/>
      </c>
      <c r="AA130" s="55" t="str">
        <f>IFERROR(Inv_SY!O132/Inv_SY!$Z132-1,"")</f>
        <v/>
      </c>
      <c r="AB130" s="55" t="str">
        <f>IFERROR(Inv_SY!P132/Inv_SY!$Z132-1,"")</f>
        <v/>
      </c>
      <c r="AC130" s="55" t="str">
        <f>IFERROR(Inv_SY!Q132/Inv_SY!$Z132-1,"")</f>
        <v/>
      </c>
      <c r="AD130" s="55" t="str">
        <f>IFERROR(Inv_SY!R132/Inv_SY!$Z132-1,"")</f>
        <v/>
      </c>
      <c r="AE130" s="55" t="str">
        <f>IFERROR(Inv_SY!S132/Inv_SY!$Z132-1,"")</f>
        <v/>
      </c>
      <c r="AF130" s="55" t="str">
        <f>IFERROR(Inv_SY!T132/Inv_SY!$Z132-1,"")</f>
        <v/>
      </c>
      <c r="AG130" s="55" t="str">
        <f>IFERROR(Inv_SY!U132/Inv_SY!$Z132-1,"")</f>
        <v/>
      </c>
      <c r="AH130" s="55" t="str">
        <f>IFERROR(Inv_SY!V132/Inv_SY!$Y132-1,"")</f>
        <v/>
      </c>
      <c r="AI130" s="55" t="str">
        <f>IFERROR(Inv_SY!W132/Inv_SY!$Y132-1,"")</f>
        <v/>
      </c>
      <c r="AJ130" s="55" t="str">
        <f>IFERROR(Inv_SY!X132/Inv_SY!$Y132-1,"")</f>
        <v/>
      </c>
      <c r="AK130" s="55" t="str">
        <f>IFERROR(Inv_SY!V132/Inv_SY!$Z132-1,"")</f>
        <v/>
      </c>
      <c r="AL130" s="55" t="str">
        <f>IFERROR(Inv_SY!W132/Inv_SY!$Z132-1,"")</f>
        <v/>
      </c>
      <c r="AM130" s="55" t="str">
        <f>IFERROR(Inv_SY!X132/Inv_SY!$Z132-1,"")</f>
        <v/>
      </c>
    </row>
    <row r="131" spans="1:39" x14ac:dyDescent="0.3">
      <c r="A131" s="273">
        <f>YEAR(Table5[[#This Row],[Date]])+IF(MONTH(Table5[[#This Row],[Date]])&gt;=4,1,0)</f>
        <v>2026</v>
      </c>
      <c r="B131" s="273"/>
      <c r="C131" s="273">
        <f>YEAR(Table5[[#This Row],[Date]])</f>
        <v>2025</v>
      </c>
      <c r="D131" s="273"/>
      <c r="E131" s="273"/>
      <c r="F131" s="274" t="str">
        <f>TEXT(Table5[[#This Row],[Date]],"mmm-yy")</f>
        <v>Aug-25</v>
      </c>
      <c r="G131" s="273">
        <f t="shared" si="7"/>
        <v>31</v>
      </c>
      <c r="H131" s="275">
        <f t="shared" si="8"/>
        <v>45874</v>
      </c>
      <c r="I131" s="273">
        <v>8.02</v>
      </c>
      <c r="J131" s="55" t="str">
        <f>IFERROR(Inv_SY!J133/Inv_SY!$Y133-1,"")</f>
        <v/>
      </c>
      <c r="K131" s="55" t="str">
        <f>IFERROR(Inv_SY!K133/Inv_SY!$Y133-1,"")</f>
        <v/>
      </c>
      <c r="L131" s="55" t="str">
        <f>IFERROR(Inv_SY!L133/Inv_SY!$Y133-1,"")</f>
        <v/>
      </c>
      <c r="M131" s="55" t="str">
        <f>IFERROR(Inv_SY!M133/Inv_SY!$Y133-1,"")</f>
        <v/>
      </c>
      <c r="N131" s="55" t="str">
        <f>IFERROR(Inv_SY!N133/Inv_SY!$Y133-1,"")</f>
        <v/>
      </c>
      <c r="O131" s="55" t="str">
        <f>IFERROR(Inv_SY!O133/Inv_SY!$Y133-1,"")</f>
        <v/>
      </c>
      <c r="P131" s="55" t="str">
        <f>IFERROR(Inv_SY!P133/Inv_SY!$Y133-1,"")</f>
        <v/>
      </c>
      <c r="Q131" s="55" t="str">
        <f>IFERROR(Inv_SY!Q133/Inv_SY!$Y133-1,"")</f>
        <v/>
      </c>
      <c r="R131" s="55" t="str">
        <f>IFERROR(Inv_SY!R133/Inv_SY!$Y133-1,"")</f>
        <v/>
      </c>
      <c r="S131" s="55" t="str">
        <f>IFERROR(Inv_SY!S133/Inv_SY!$Y133-1,"")</f>
        <v/>
      </c>
      <c r="T131" s="55" t="str">
        <f>IFERROR(Inv_SY!T133/Inv_SY!$Y133-1,"")</f>
        <v/>
      </c>
      <c r="U131" s="55" t="str">
        <f>IFERROR(Inv_SY!U133/Inv_SY!$Y133-1,"")</f>
        <v/>
      </c>
      <c r="V131" s="55" t="str">
        <f>IFERROR(Inv_SY!J133/Inv_SY!$Z133-1,"")</f>
        <v/>
      </c>
      <c r="W131" s="55" t="str">
        <f>IFERROR(Inv_SY!K133/Inv_SY!$Z133-1,"")</f>
        <v/>
      </c>
      <c r="X131" s="55" t="str">
        <f>IFERROR(Inv_SY!L133/Inv_SY!$Z133-1,"")</f>
        <v/>
      </c>
      <c r="Y131" s="55" t="str">
        <f>IFERROR(Inv_SY!M133/Inv_SY!$Z133-1,"")</f>
        <v/>
      </c>
      <c r="Z131" s="55" t="str">
        <f>IFERROR(Inv_SY!N133/Inv_SY!$Z133-1,"")</f>
        <v/>
      </c>
      <c r="AA131" s="55" t="str">
        <f>IFERROR(Inv_SY!O133/Inv_SY!$Z133-1,"")</f>
        <v/>
      </c>
      <c r="AB131" s="55" t="str">
        <f>IFERROR(Inv_SY!P133/Inv_SY!$Z133-1,"")</f>
        <v/>
      </c>
      <c r="AC131" s="55" t="str">
        <f>IFERROR(Inv_SY!Q133/Inv_SY!$Z133-1,"")</f>
        <v/>
      </c>
      <c r="AD131" s="55" t="str">
        <f>IFERROR(Inv_SY!R133/Inv_SY!$Z133-1,"")</f>
        <v/>
      </c>
      <c r="AE131" s="55" t="str">
        <f>IFERROR(Inv_SY!S133/Inv_SY!$Z133-1,"")</f>
        <v/>
      </c>
      <c r="AF131" s="55" t="str">
        <f>IFERROR(Inv_SY!T133/Inv_SY!$Z133-1,"")</f>
        <v/>
      </c>
      <c r="AG131" s="55" t="str">
        <f>IFERROR(Inv_SY!U133/Inv_SY!$Z133-1,"")</f>
        <v/>
      </c>
      <c r="AH131" s="55" t="str">
        <f>IFERROR(Inv_SY!V133/Inv_SY!$Y133-1,"")</f>
        <v/>
      </c>
      <c r="AI131" s="55" t="str">
        <f>IFERROR(Inv_SY!W133/Inv_SY!$Y133-1,"")</f>
        <v/>
      </c>
      <c r="AJ131" s="55" t="str">
        <f>IFERROR(Inv_SY!X133/Inv_SY!$Y133-1,"")</f>
        <v/>
      </c>
      <c r="AK131" s="55" t="str">
        <f>IFERROR(Inv_SY!V133/Inv_SY!$Z133-1,"")</f>
        <v/>
      </c>
      <c r="AL131" s="55" t="str">
        <f>IFERROR(Inv_SY!W133/Inv_SY!$Z133-1,"")</f>
        <v/>
      </c>
      <c r="AM131" s="55" t="str">
        <f>IFERROR(Inv_SY!X133/Inv_SY!$Z133-1,"")</f>
        <v/>
      </c>
    </row>
    <row r="132" spans="1:39" x14ac:dyDescent="0.3">
      <c r="A132" s="273">
        <f>YEAR(Table5[[#This Row],[Date]])+IF(MONTH(Table5[[#This Row],[Date]])&gt;=4,1,0)</f>
        <v>2026</v>
      </c>
      <c r="B132" s="273"/>
      <c r="C132" s="273">
        <f>YEAR(Table5[[#This Row],[Date]])</f>
        <v>2025</v>
      </c>
      <c r="D132" s="273"/>
      <c r="E132" s="273"/>
      <c r="F132" s="274" t="str">
        <f>TEXT(Table5[[#This Row],[Date]],"mmm-yy")</f>
        <v>Aug-25</v>
      </c>
      <c r="G132" s="273">
        <f t="shared" si="7"/>
        <v>31</v>
      </c>
      <c r="H132" s="275">
        <f t="shared" si="8"/>
        <v>45875</v>
      </c>
      <c r="I132" s="273">
        <v>8.02</v>
      </c>
      <c r="J132" s="55" t="str">
        <f>IFERROR(Inv_SY!J134/Inv_SY!$Y134-1,"")</f>
        <v/>
      </c>
      <c r="K132" s="55" t="str">
        <f>IFERROR(Inv_SY!K134/Inv_SY!$Y134-1,"")</f>
        <v/>
      </c>
      <c r="L132" s="55" t="str">
        <f>IFERROR(Inv_SY!L134/Inv_SY!$Y134-1,"")</f>
        <v/>
      </c>
      <c r="M132" s="55" t="str">
        <f>IFERROR(Inv_SY!M134/Inv_SY!$Y134-1,"")</f>
        <v/>
      </c>
      <c r="N132" s="55" t="str">
        <f>IFERROR(Inv_SY!N134/Inv_SY!$Y134-1,"")</f>
        <v/>
      </c>
      <c r="O132" s="55" t="str">
        <f>IFERROR(Inv_SY!O134/Inv_SY!$Y134-1,"")</f>
        <v/>
      </c>
      <c r="P132" s="55" t="str">
        <f>IFERROR(Inv_SY!P134/Inv_SY!$Y134-1,"")</f>
        <v/>
      </c>
      <c r="Q132" s="55" t="str">
        <f>IFERROR(Inv_SY!Q134/Inv_SY!$Y134-1,"")</f>
        <v/>
      </c>
      <c r="R132" s="55" t="str">
        <f>IFERROR(Inv_SY!R134/Inv_SY!$Y134-1,"")</f>
        <v/>
      </c>
      <c r="S132" s="55" t="str">
        <f>IFERROR(Inv_SY!S134/Inv_SY!$Y134-1,"")</f>
        <v/>
      </c>
      <c r="T132" s="55" t="str">
        <f>IFERROR(Inv_SY!T134/Inv_SY!$Y134-1,"")</f>
        <v/>
      </c>
      <c r="U132" s="55" t="str">
        <f>IFERROR(Inv_SY!U134/Inv_SY!$Y134-1,"")</f>
        <v/>
      </c>
      <c r="V132" s="55" t="str">
        <f>IFERROR(Inv_SY!J134/Inv_SY!$Z134-1,"")</f>
        <v/>
      </c>
      <c r="W132" s="55" t="str">
        <f>IFERROR(Inv_SY!K134/Inv_SY!$Z134-1,"")</f>
        <v/>
      </c>
      <c r="X132" s="55" t="str">
        <f>IFERROR(Inv_SY!L134/Inv_SY!$Z134-1,"")</f>
        <v/>
      </c>
      <c r="Y132" s="55" t="str">
        <f>IFERROR(Inv_SY!M134/Inv_SY!$Z134-1,"")</f>
        <v/>
      </c>
      <c r="Z132" s="55" t="str">
        <f>IFERROR(Inv_SY!N134/Inv_SY!$Z134-1,"")</f>
        <v/>
      </c>
      <c r="AA132" s="55" t="str">
        <f>IFERROR(Inv_SY!O134/Inv_SY!$Z134-1,"")</f>
        <v/>
      </c>
      <c r="AB132" s="55" t="str">
        <f>IFERROR(Inv_SY!P134/Inv_SY!$Z134-1,"")</f>
        <v/>
      </c>
      <c r="AC132" s="55" t="str">
        <f>IFERROR(Inv_SY!Q134/Inv_SY!$Z134-1,"")</f>
        <v/>
      </c>
      <c r="AD132" s="55" t="str">
        <f>IFERROR(Inv_SY!R134/Inv_SY!$Z134-1,"")</f>
        <v/>
      </c>
      <c r="AE132" s="55" t="str">
        <f>IFERROR(Inv_SY!S134/Inv_SY!$Z134-1,"")</f>
        <v/>
      </c>
      <c r="AF132" s="55" t="str">
        <f>IFERROR(Inv_SY!T134/Inv_SY!$Z134-1,"")</f>
        <v/>
      </c>
      <c r="AG132" s="55" t="str">
        <f>IFERROR(Inv_SY!U134/Inv_SY!$Z134-1,"")</f>
        <v/>
      </c>
      <c r="AH132" s="55" t="str">
        <f>IFERROR(Inv_SY!V134/Inv_SY!$Y134-1,"")</f>
        <v/>
      </c>
      <c r="AI132" s="55" t="str">
        <f>IFERROR(Inv_SY!W134/Inv_SY!$Y134-1,"")</f>
        <v/>
      </c>
      <c r="AJ132" s="55" t="str">
        <f>IFERROR(Inv_SY!X134/Inv_SY!$Y134-1,"")</f>
        <v/>
      </c>
      <c r="AK132" s="55" t="str">
        <f>IFERROR(Inv_SY!V134/Inv_SY!$Z134-1,"")</f>
        <v/>
      </c>
      <c r="AL132" s="55" t="str">
        <f>IFERROR(Inv_SY!W134/Inv_SY!$Z134-1,"")</f>
        <v/>
      </c>
      <c r="AM132" s="55" t="str">
        <f>IFERROR(Inv_SY!X134/Inv_SY!$Z134-1,"")</f>
        <v/>
      </c>
    </row>
    <row r="133" spans="1:39" x14ac:dyDescent="0.3">
      <c r="A133" s="273">
        <f>YEAR(Table5[[#This Row],[Date]])+IF(MONTH(Table5[[#This Row],[Date]])&gt;=4,1,0)</f>
        <v>2026</v>
      </c>
      <c r="B133" s="273"/>
      <c r="C133" s="273">
        <f>YEAR(Table5[[#This Row],[Date]])</f>
        <v>2025</v>
      </c>
      <c r="D133" s="273"/>
      <c r="E133" s="273"/>
      <c r="F133" s="274" t="str">
        <f>TEXT(Table5[[#This Row],[Date]],"mmm-yy")</f>
        <v>Aug-25</v>
      </c>
      <c r="G133" s="273">
        <f t="shared" si="7"/>
        <v>31</v>
      </c>
      <c r="H133" s="275">
        <f t="shared" si="8"/>
        <v>45876</v>
      </c>
      <c r="I133" s="273">
        <v>8.02</v>
      </c>
      <c r="J133" s="55" t="str">
        <f>IFERROR(Inv_SY!J135/Inv_SY!$Y135-1,"")</f>
        <v/>
      </c>
      <c r="K133" s="55" t="str">
        <f>IFERROR(Inv_SY!K135/Inv_SY!$Y135-1,"")</f>
        <v/>
      </c>
      <c r="L133" s="55" t="str">
        <f>IFERROR(Inv_SY!L135/Inv_SY!$Y135-1,"")</f>
        <v/>
      </c>
      <c r="M133" s="55" t="str">
        <f>IFERROR(Inv_SY!M135/Inv_SY!$Y135-1,"")</f>
        <v/>
      </c>
      <c r="N133" s="55" t="str">
        <f>IFERROR(Inv_SY!N135/Inv_SY!$Y135-1,"")</f>
        <v/>
      </c>
      <c r="O133" s="55" t="str">
        <f>IFERROR(Inv_SY!O135/Inv_SY!$Y135-1,"")</f>
        <v/>
      </c>
      <c r="P133" s="55" t="str">
        <f>IFERROR(Inv_SY!P135/Inv_SY!$Y135-1,"")</f>
        <v/>
      </c>
      <c r="Q133" s="55" t="str">
        <f>IFERROR(Inv_SY!Q135/Inv_SY!$Y135-1,"")</f>
        <v/>
      </c>
      <c r="R133" s="55" t="str">
        <f>IFERROR(Inv_SY!R135/Inv_SY!$Y135-1,"")</f>
        <v/>
      </c>
      <c r="S133" s="55" t="str">
        <f>IFERROR(Inv_SY!S135/Inv_SY!$Y135-1,"")</f>
        <v/>
      </c>
      <c r="T133" s="55" t="str">
        <f>IFERROR(Inv_SY!T135/Inv_SY!$Y135-1,"")</f>
        <v/>
      </c>
      <c r="U133" s="55" t="str">
        <f>IFERROR(Inv_SY!U135/Inv_SY!$Y135-1,"")</f>
        <v/>
      </c>
      <c r="V133" s="55" t="str">
        <f>IFERROR(Inv_SY!J135/Inv_SY!$Z135-1,"")</f>
        <v/>
      </c>
      <c r="W133" s="55" t="str">
        <f>IFERROR(Inv_SY!K135/Inv_SY!$Z135-1,"")</f>
        <v/>
      </c>
      <c r="X133" s="55" t="str">
        <f>IFERROR(Inv_SY!L135/Inv_SY!$Z135-1,"")</f>
        <v/>
      </c>
      <c r="Y133" s="55" t="str">
        <f>IFERROR(Inv_SY!M135/Inv_SY!$Z135-1,"")</f>
        <v/>
      </c>
      <c r="Z133" s="55" t="str">
        <f>IFERROR(Inv_SY!N135/Inv_SY!$Z135-1,"")</f>
        <v/>
      </c>
      <c r="AA133" s="55" t="str">
        <f>IFERROR(Inv_SY!O135/Inv_SY!$Z135-1,"")</f>
        <v/>
      </c>
      <c r="AB133" s="55" t="str">
        <f>IFERROR(Inv_SY!P135/Inv_SY!$Z135-1,"")</f>
        <v/>
      </c>
      <c r="AC133" s="55" t="str">
        <f>IFERROR(Inv_SY!Q135/Inv_SY!$Z135-1,"")</f>
        <v/>
      </c>
      <c r="AD133" s="55" t="str">
        <f>IFERROR(Inv_SY!R135/Inv_SY!$Z135-1,"")</f>
        <v/>
      </c>
      <c r="AE133" s="55" t="str">
        <f>IFERROR(Inv_SY!S135/Inv_SY!$Z135-1,"")</f>
        <v/>
      </c>
      <c r="AF133" s="55" t="str">
        <f>IFERROR(Inv_SY!T135/Inv_SY!$Z135-1,"")</f>
        <v/>
      </c>
      <c r="AG133" s="55" t="str">
        <f>IFERROR(Inv_SY!U135/Inv_SY!$Z135-1,"")</f>
        <v/>
      </c>
      <c r="AH133" s="55" t="str">
        <f>IFERROR(Inv_SY!V135/Inv_SY!$Y135-1,"")</f>
        <v/>
      </c>
      <c r="AI133" s="55" t="str">
        <f>IFERROR(Inv_SY!W135/Inv_SY!$Y135-1,"")</f>
        <v/>
      </c>
      <c r="AJ133" s="55" t="str">
        <f>IFERROR(Inv_SY!X135/Inv_SY!$Y135-1,"")</f>
        <v/>
      </c>
      <c r="AK133" s="55" t="str">
        <f>IFERROR(Inv_SY!V135/Inv_SY!$Z135-1,"")</f>
        <v/>
      </c>
      <c r="AL133" s="55" t="str">
        <f>IFERROR(Inv_SY!W135/Inv_SY!$Z135-1,"")</f>
        <v/>
      </c>
      <c r="AM133" s="55" t="str">
        <f>IFERROR(Inv_SY!X135/Inv_SY!$Z135-1,"")</f>
        <v/>
      </c>
    </row>
    <row r="134" spans="1:39" x14ac:dyDescent="0.3">
      <c r="A134" s="273">
        <f>YEAR(Table5[[#This Row],[Date]])+IF(MONTH(Table5[[#This Row],[Date]])&gt;=4,1,0)</f>
        <v>2026</v>
      </c>
      <c r="B134" s="273"/>
      <c r="C134" s="273">
        <f>YEAR(Table5[[#This Row],[Date]])</f>
        <v>2025</v>
      </c>
      <c r="D134" s="273"/>
      <c r="E134" s="273"/>
      <c r="F134" s="274" t="str">
        <f>TEXT(Table5[[#This Row],[Date]],"mmm-yy")</f>
        <v>Aug-25</v>
      </c>
      <c r="G134" s="273">
        <f t="shared" si="7"/>
        <v>31</v>
      </c>
      <c r="H134" s="275">
        <f t="shared" si="8"/>
        <v>45877</v>
      </c>
      <c r="I134" s="273">
        <v>8.02</v>
      </c>
      <c r="J134" s="55" t="str">
        <f>IFERROR(Inv_SY!J136/Inv_SY!$Y136-1,"")</f>
        <v/>
      </c>
      <c r="K134" s="55" t="str">
        <f>IFERROR(Inv_SY!K136/Inv_SY!$Y136-1,"")</f>
        <v/>
      </c>
      <c r="L134" s="55" t="str">
        <f>IFERROR(Inv_SY!L136/Inv_SY!$Y136-1,"")</f>
        <v/>
      </c>
      <c r="M134" s="55" t="str">
        <f>IFERROR(Inv_SY!M136/Inv_SY!$Y136-1,"")</f>
        <v/>
      </c>
      <c r="N134" s="55" t="str">
        <f>IFERROR(Inv_SY!N136/Inv_SY!$Y136-1,"")</f>
        <v/>
      </c>
      <c r="O134" s="55" t="str">
        <f>IFERROR(Inv_SY!O136/Inv_SY!$Y136-1,"")</f>
        <v/>
      </c>
      <c r="P134" s="55" t="str">
        <f>IFERROR(Inv_SY!P136/Inv_SY!$Y136-1,"")</f>
        <v/>
      </c>
      <c r="Q134" s="55" t="str">
        <f>IFERROR(Inv_SY!Q136/Inv_SY!$Y136-1,"")</f>
        <v/>
      </c>
      <c r="R134" s="55" t="str">
        <f>IFERROR(Inv_SY!R136/Inv_SY!$Y136-1,"")</f>
        <v/>
      </c>
      <c r="S134" s="55" t="str">
        <f>IFERROR(Inv_SY!S136/Inv_SY!$Y136-1,"")</f>
        <v/>
      </c>
      <c r="T134" s="55" t="str">
        <f>IFERROR(Inv_SY!T136/Inv_SY!$Y136-1,"")</f>
        <v/>
      </c>
      <c r="U134" s="55" t="str">
        <f>IFERROR(Inv_SY!U136/Inv_SY!$Y136-1,"")</f>
        <v/>
      </c>
      <c r="V134" s="55" t="str">
        <f>IFERROR(Inv_SY!J136/Inv_SY!$Z136-1,"")</f>
        <v/>
      </c>
      <c r="W134" s="55" t="str">
        <f>IFERROR(Inv_SY!K136/Inv_SY!$Z136-1,"")</f>
        <v/>
      </c>
      <c r="X134" s="55" t="str">
        <f>IFERROR(Inv_SY!L136/Inv_SY!$Z136-1,"")</f>
        <v/>
      </c>
      <c r="Y134" s="55" t="str">
        <f>IFERROR(Inv_SY!M136/Inv_SY!$Z136-1,"")</f>
        <v/>
      </c>
      <c r="Z134" s="55" t="str">
        <f>IFERROR(Inv_SY!N136/Inv_SY!$Z136-1,"")</f>
        <v/>
      </c>
      <c r="AA134" s="55" t="str">
        <f>IFERROR(Inv_SY!O136/Inv_SY!$Z136-1,"")</f>
        <v/>
      </c>
      <c r="AB134" s="55" t="str">
        <f>IFERROR(Inv_SY!P136/Inv_SY!$Z136-1,"")</f>
        <v/>
      </c>
      <c r="AC134" s="55" t="str">
        <f>IFERROR(Inv_SY!Q136/Inv_SY!$Z136-1,"")</f>
        <v/>
      </c>
      <c r="AD134" s="55" t="str">
        <f>IFERROR(Inv_SY!R136/Inv_SY!$Z136-1,"")</f>
        <v/>
      </c>
      <c r="AE134" s="55" t="str">
        <f>IFERROR(Inv_SY!S136/Inv_SY!$Z136-1,"")</f>
        <v/>
      </c>
      <c r="AF134" s="55" t="str">
        <f>IFERROR(Inv_SY!T136/Inv_SY!$Z136-1,"")</f>
        <v/>
      </c>
      <c r="AG134" s="55" t="str">
        <f>IFERROR(Inv_SY!U136/Inv_SY!$Z136-1,"")</f>
        <v/>
      </c>
      <c r="AH134" s="55" t="str">
        <f>IFERROR(Inv_SY!V136/Inv_SY!$Y136-1,"")</f>
        <v/>
      </c>
      <c r="AI134" s="55" t="str">
        <f>IFERROR(Inv_SY!W136/Inv_SY!$Y136-1,"")</f>
        <v/>
      </c>
      <c r="AJ134" s="55" t="str">
        <f>IFERROR(Inv_SY!X136/Inv_SY!$Y136-1,"")</f>
        <v/>
      </c>
      <c r="AK134" s="55" t="str">
        <f>IFERROR(Inv_SY!V136/Inv_SY!$Z136-1,"")</f>
        <v/>
      </c>
      <c r="AL134" s="55" t="str">
        <f>IFERROR(Inv_SY!W136/Inv_SY!$Z136-1,"")</f>
        <v/>
      </c>
      <c r="AM134" s="55" t="str">
        <f>IFERROR(Inv_SY!X136/Inv_SY!$Z136-1,"")</f>
        <v/>
      </c>
    </row>
    <row r="135" spans="1:39" x14ac:dyDescent="0.3">
      <c r="A135" s="273">
        <f>YEAR(Table5[[#This Row],[Date]])+IF(MONTH(Table5[[#This Row],[Date]])&gt;=4,1,0)</f>
        <v>2026</v>
      </c>
      <c r="B135" s="273"/>
      <c r="C135" s="273">
        <f>YEAR(Table5[[#This Row],[Date]])</f>
        <v>2025</v>
      </c>
      <c r="D135" s="273"/>
      <c r="E135" s="273"/>
      <c r="F135" s="274" t="str">
        <f>TEXT(Table5[[#This Row],[Date]],"mmm-yy")</f>
        <v>Aug-25</v>
      </c>
      <c r="G135" s="273">
        <f t="shared" si="7"/>
        <v>31</v>
      </c>
      <c r="H135" s="275">
        <f t="shared" si="8"/>
        <v>45878</v>
      </c>
      <c r="I135" s="273">
        <v>8.02</v>
      </c>
      <c r="J135" s="55" t="str">
        <f>IFERROR(Inv_SY!J137/Inv_SY!$Y137-1,"")</f>
        <v/>
      </c>
      <c r="K135" s="55" t="str">
        <f>IFERROR(Inv_SY!K137/Inv_SY!$Y137-1,"")</f>
        <v/>
      </c>
      <c r="L135" s="55" t="str">
        <f>IFERROR(Inv_SY!L137/Inv_SY!$Y137-1,"")</f>
        <v/>
      </c>
      <c r="M135" s="55" t="str">
        <f>IFERROR(Inv_SY!M137/Inv_SY!$Y137-1,"")</f>
        <v/>
      </c>
      <c r="N135" s="55" t="str">
        <f>IFERROR(Inv_SY!N137/Inv_SY!$Y137-1,"")</f>
        <v/>
      </c>
      <c r="O135" s="55" t="str">
        <f>IFERROR(Inv_SY!O137/Inv_SY!$Y137-1,"")</f>
        <v/>
      </c>
      <c r="P135" s="55" t="str">
        <f>IFERROR(Inv_SY!P137/Inv_SY!$Y137-1,"")</f>
        <v/>
      </c>
      <c r="Q135" s="55" t="str">
        <f>IFERROR(Inv_SY!Q137/Inv_SY!$Y137-1,"")</f>
        <v/>
      </c>
      <c r="R135" s="55" t="str">
        <f>IFERROR(Inv_SY!R137/Inv_SY!$Y137-1,"")</f>
        <v/>
      </c>
      <c r="S135" s="55" t="str">
        <f>IFERROR(Inv_SY!S137/Inv_SY!$Y137-1,"")</f>
        <v/>
      </c>
      <c r="T135" s="55" t="str">
        <f>IFERROR(Inv_SY!T137/Inv_SY!$Y137-1,"")</f>
        <v/>
      </c>
      <c r="U135" s="55" t="str">
        <f>IFERROR(Inv_SY!U137/Inv_SY!$Y137-1,"")</f>
        <v/>
      </c>
      <c r="V135" s="55" t="str">
        <f>IFERROR(Inv_SY!J137/Inv_SY!$Z137-1,"")</f>
        <v/>
      </c>
      <c r="W135" s="55" t="str">
        <f>IFERROR(Inv_SY!K137/Inv_SY!$Z137-1,"")</f>
        <v/>
      </c>
      <c r="X135" s="55" t="str">
        <f>IFERROR(Inv_SY!L137/Inv_SY!$Z137-1,"")</f>
        <v/>
      </c>
      <c r="Y135" s="55" t="str">
        <f>IFERROR(Inv_SY!M137/Inv_SY!$Z137-1,"")</f>
        <v/>
      </c>
      <c r="Z135" s="55" t="str">
        <f>IFERROR(Inv_SY!N137/Inv_SY!$Z137-1,"")</f>
        <v/>
      </c>
      <c r="AA135" s="55" t="str">
        <f>IFERROR(Inv_SY!O137/Inv_SY!$Z137-1,"")</f>
        <v/>
      </c>
      <c r="AB135" s="55" t="str">
        <f>IFERROR(Inv_SY!P137/Inv_SY!$Z137-1,"")</f>
        <v/>
      </c>
      <c r="AC135" s="55" t="str">
        <f>IFERROR(Inv_SY!Q137/Inv_SY!$Z137-1,"")</f>
        <v/>
      </c>
      <c r="AD135" s="55" t="str">
        <f>IFERROR(Inv_SY!R137/Inv_SY!$Z137-1,"")</f>
        <v/>
      </c>
      <c r="AE135" s="55" t="str">
        <f>IFERROR(Inv_SY!S137/Inv_SY!$Z137-1,"")</f>
        <v/>
      </c>
      <c r="AF135" s="55" t="str">
        <f>IFERROR(Inv_SY!T137/Inv_SY!$Z137-1,"")</f>
        <v/>
      </c>
      <c r="AG135" s="55" t="str">
        <f>IFERROR(Inv_SY!U137/Inv_SY!$Z137-1,"")</f>
        <v/>
      </c>
      <c r="AH135" s="55" t="str">
        <f>IFERROR(Inv_SY!V137/Inv_SY!$Y137-1,"")</f>
        <v/>
      </c>
      <c r="AI135" s="55" t="str">
        <f>IFERROR(Inv_SY!W137/Inv_SY!$Y137-1,"")</f>
        <v/>
      </c>
      <c r="AJ135" s="55" t="str">
        <f>IFERROR(Inv_SY!X137/Inv_SY!$Y137-1,"")</f>
        <v/>
      </c>
      <c r="AK135" s="55" t="str">
        <f>IFERROR(Inv_SY!V137/Inv_SY!$Z137-1,"")</f>
        <v/>
      </c>
      <c r="AL135" s="55" t="str">
        <f>IFERROR(Inv_SY!W137/Inv_SY!$Z137-1,"")</f>
        <v/>
      </c>
      <c r="AM135" s="55" t="str">
        <f>IFERROR(Inv_SY!X137/Inv_SY!$Z137-1,"")</f>
        <v/>
      </c>
    </row>
    <row r="136" spans="1:39" x14ac:dyDescent="0.3">
      <c r="A136" s="273">
        <f>YEAR(Table5[[#This Row],[Date]])+IF(MONTH(Table5[[#This Row],[Date]])&gt;=4,1,0)</f>
        <v>2026</v>
      </c>
      <c r="B136" s="273"/>
      <c r="C136" s="273">
        <f>YEAR(Table5[[#This Row],[Date]])</f>
        <v>2025</v>
      </c>
      <c r="D136" s="273"/>
      <c r="E136" s="273"/>
      <c r="F136" s="274" t="str">
        <f>TEXT(Table5[[#This Row],[Date]],"mmm-yy")</f>
        <v>Aug-25</v>
      </c>
      <c r="G136" s="273">
        <f t="shared" si="7"/>
        <v>31</v>
      </c>
      <c r="H136" s="275">
        <f t="shared" si="8"/>
        <v>45879</v>
      </c>
      <c r="I136" s="273">
        <v>8.02</v>
      </c>
      <c r="J136" s="55" t="str">
        <f>IFERROR(Inv_SY!J138/Inv_SY!$Y138-1,"")</f>
        <v/>
      </c>
      <c r="K136" s="55" t="str">
        <f>IFERROR(Inv_SY!K138/Inv_SY!$Y138-1,"")</f>
        <v/>
      </c>
      <c r="L136" s="55" t="str">
        <f>IFERROR(Inv_SY!L138/Inv_SY!$Y138-1,"")</f>
        <v/>
      </c>
      <c r="M136" s="55" t="str">
        <f>IFERROR(Inv_SY!M138/Inv_SY!$Y138-1,"")</f>
        <v/>
      </c>
      <c r="N136" s="55" t="str">
        <f>IFERROR(Inv_SY!N138/Inv_SY!$Y138-1,"")</f>
        <v/>
      </c>
      <c r="O136" s="55" t="str">
        <f>IFERROR(Inv_SY!O138/Inv_SY!$Y138-1,"")</f>
        <v/>
      </c>
      <c r="P136" s="55" t="str">
        <f>IFERROR(Inv_SY!P138/Inv_SY!$Y138-1,"")</f>
        <v/>
      </c>
      <c r="Q136" s="55" t="str">
        <f>IFERROR(Inv_SY!Q138/Inv_SY!$Y138-1,"")</f>
        <v/>
      </c>
      <c r="R136" s="55" t="str">
        <f>IFERROR(Inv_SY!R138/Inv_SY!$Y138-1,"")</f>
        <v/>
      </c>
      <c r="S136" s="55" t="str">
        <f>IFERROR(Inv_SY!S138/Inv_SY!$Y138-1,"")</f>
        <v/>
      </c>
      <c r="T136" s="55" t="str">
        <f>IFERROR(Inv_SY!T138/Inv_SY!$Y138-1,"")</f>
        <v/>
      </c>
      <c r="U136" s="55" t="str">
        <f>IFERROR(Inv_SY!U138/Inv_SY!$Y138-1,"")</f>
        <v/>
      </c>
      <c r="V136" s="55" t="str">
        <f>IFERROR(Inv_SY!J138/Inv_SY!$Z138-1,"")</f>
        <v/>
      </c>
      <c r="W136" s="55" t="str">
        <f>IFERROR(Inv_SY!K138/Inv_SY!$Z138-1,"")</f>
        <v/>
      </c>
      <c r="X136" s="55" t="str">
        <f>IFERROR(Inv_SY!L138/Inv_SY!$Z138-1,"")</f>
        <v/>
      </c>
      <c r="Y136" s="55" t="str">
        <f>IFERROR(Inv_SY!M138/Inv_SY!$Z138-1,"")</f>
        <v/>
      </c>
      <c r="Z136" s="55" t="str">
        <f>IFERROR(Inv_SY!N138/Inv_SY!$Z138-1,"")</f>
        <v/>
      </c>
      <c r="AA136" s="55" t="str">
        <f>IFERROR(Inv_SY!O138/Inv_SY!$Z138-1,"")</f>
        <v/>
      </c>
      <c r="AB136" s="55" t="str">
        <f>IFERROR(Inv_SY!P138/Inv_SY!$Z138-1,"")</f>
        <v/>
      </c>
      <c r="AC136" s="55" t="str">
        <f>IFERROR(Inv_SY!Q138/Inv_SY!$Z138-1,"")</f>
        <v/>
      </c>
      <c r="AD136" s="55" t="str">
        <f>IFERROR(Inv_SY!R138/Inv_SY!$Z138-1,"")</f>
        <v/>
      </c>
      <c r="AE136" s="55" t="str">
        <f>IFERROR(Inv_SY!S138/Inv_SY!$Z138-1,"")</f>
        <v/>
      </c>
      <c r="AF136" s="55" t="str">
        <f>IFERROR(Inv_SY!T138/Inv_SY!$Z138-1,"")</f>
        <v/>
      </c>
      <c r="AG136" s="55" t="str">
        <f>IFERROR(Inv_SY!U138/Inv_SY!$Z138-1,"")</f>
        <v/>
      </c>
      <c r="AH136" s="55" t="str">
        <f>IFERROR(Inv_SY!V138/Inv_SY!$Y138-1,"")</f>
        <v/>
      </c>
      <c r="AI136" s="55" t="str">
        <f>IFERROR(Inv_SY!W138/Inv_SY!$Y138-1,"")</f>
        <v/>
      </c>
      <c r="AJ136" s="55" t="str">
        <f>IFERROR(Inv_SY!X138/Inv_SY!$Y138-1,"")</f>
        <v/>
      </c>
      <c r="AK136" s="55" t="str">
        <f>IFERROR(Inv_SY!V138/Inv_SY!$Z138-1,"")</f>
        <v/>
      </c>
      <c r="AL136" s="55" t="str">
        <f>IFERROR(Inv_SY!W138/Inv_SY!$Z138-1,"")</f>
        <v/>
      </c>
      <c r="AM136" s="55" t="str">
        <f>IFERROR(Inv_SY!X138/Inv_SY!$Z138-1,"")</f>
        <v/>
      </c>
    </row>
    <row r="137" spans="1:39" x14ac:dyDescent="0.3">
      <c r="A137" s="273">
        <f>YEAR(Table5[[#This Row],[Date]])+IF(MONTH(Table5[[#This Row],[Date]])&gt;=4,1,0)</f>
        <v>2026</v>
      </c>
      <c r="B137" s="273"/>
      <c r="C137" s="273">
        <f>YEAR(Table5[[#This Row],[Date]])</f>
        <v>2025</v>
      </c>
      <c r="D137" s="273"/>
      <c r="E137" s="273"/>
      <c r="F137" s="274" t="str">
        <f>TEXT(Table5[[#This Row],[Date]],"mmm-yy")</f>
        <v>Aug-25</v>
      </c>
      <c r="G137" s="273">
        <f t="shared" si="7"/>
        <v>31</v>
      </c>
      <c r="H137" s="275">
        <f t="shared" si="8"/>
        <v>45880</v>
      </c>
      <c r="I137" s="273">
        <v>8.02</v>
      </c>
      <c r="J137" s="55" t="str">
        <f>IFERROR(Inv_SY!J139/Inv_SY!$Y139-1,"")</f>
        <v/>
      </c>
      <c r="K137" s="55" t="str">
        <f>IFERROR(Inv_SY!K139/Inv_SY!$Y139-1,"")</f>
        <v/>
      </c>
      <c r="L137" s="55" t="str">
        <f>IFERROR(Inv_SY!L139/Inv_SY!$Y139-1,"")</f>
        <v/>
      </c>
      <c r="M137" s="55" t="str">
        <f>IFERROR(Inv_SY!M139/Inv_SY!$Y139-1,"")</f>
        <v/>
      </c>
      <c r="N137" s="55" t="str">
        <f>IFERROR(Inv_SY!N139/Inv_SY!$Y139-1,"")</f>
        <v/>
      </c>
      <c r="O137" s="55" t="str">
        <f>IFERROR(Inv_SY!O139/Inv_SY!$Y139-1,"")</f>
        <v/>
      </c>
      <c r="P137" s="55" t="str">
        <f>IFERROR(Inv_SY!P139/Inv_SY!$Y139-1,"")</f>
        <v/>
      </c>
      <c r="Q137" s="55" t="str">
        <f>IFERROR(Inv_SY!Q139/Inv_SY!$Y139-1,"")</f>
        <v/>
      </c>
      <c r="R137" s="55" t="str">
        <f>IFERROR(Inv_SY!R139/Inv_SY!$Y139-1,"")</f>
        <v/>
      </c>
      <c r="S137" s="55" t="str">
        <f>IFERROR(Inv_SY!S139/Inv_SY!$Y139-1,"")</f>
        <v/>
      </c>
      <c r="T137" s="55" t="str">
        <f>IFERROR(Inv_SY!T139/Inv_SY!$Y139-1,"")</f>
        <v/>
      </c>
      <c r="U137" s="55" t="str">
        <f>IFERROR(Inv_SY!U139/Inv_SY!$Y139-1,"")</f>
        <v/>
      </c>
      <c r="V137" s="55" t="str">
        <f>IFERROR(Inv_SY!J139/Inv_SY!$Z139-1,"")</f>
        <v/>
      </c>
      <c r="W137" s="55" t="str">
        <f>IFERROR(Inv_SY!K139/Inv_SY!$Z139-1,"")</f>
        <v/>
      </c>
      <c r="X137" s="55" t="str">
        <f>IFERROR(Inv_SY!L139/Inv_SY!$Z139-1,"")</f>
        <v/>
      </c>
      <c r="Y137" s="55" t="str">
        <f>IFERROR(Inv_SY!M139/Inv_SY!$Z139-1,"")</f>
        <v/>
      </c>
      <c r="Z137" s="55" t="str">
        <f>IFERROR(Inv_SY!N139/Inv_SY!$Z139-1,"")</f>
        <v/>
      </c>
      <c r="AA137" s="55" t="str">
        <f>IFERROR(Inv_SY!O139/Inv_SY!$Z139-1,"")</f>
        <v/>
      </c>
      <c r="AB137" s="55" t="str">
        <f>IFERROR(Inv_SY!P139/Inv_SY!$Z139-1,"")</f>
        <v/>
      </c>
      <c r="AC137" s="55" t="str">
        <f>IFERROR(Inv_SY!Q139/Inv_SY!$Z139-1,"")</f>
        <v/>
      </c>
      <c r="AD137" s="55" t="str">
        <f>IFERROR(Inv_SY!R139/Inv_SY!$Z139-1,"")</f>
        <v/>
      </c>
      <c r="AE137" s="55" t="str">
        <f>IFERROR(Inv_SY!S139/Inv_SY!$Z139-1,"")</f>
        <v/>
      </c>
      <c r="AF137" s="55" t="str">
        <f>IFERROR(Inv_SY!T139/Inv_SY!$Z139-1,"")</f>
        <v/>
      </c>
      <c r="AG137" s="55" t="str">
        <f>IFERROR(Inv_SY!U139/Inv_SY!$Z139-1,"")</f>
        <v/>
      </c>
      <c r="AH137" s="55" t="str">
        <f>IFERROR(Inv_SY!V139/Inv_SY!$Y139-1,"")</f>
        <v/>
      </c>
      <c r="AI137" s="55" t="str">
        <f>IFERROR(Inv_SY!W139/Inv_SY!$Y139-1,"")</f>
        <v/>
      </c>
      <c r="AJ137" s="55" t="str">
        <f>IFERROR(Inv_SY!X139/Inv_SY!$Y139-1,"")</f>
        <v/>
      </c>
      <c r="AK137" s="55" t="str">
        <f>IFERROR(Inv_SY!V139/Inv_SY!$Z139-1,"")</f>
        <v/>
      </c>
      <c r="AL137" s="55" t="str">
        <f>IFERROR(Inv_SY!W139/Inv_SY!$Z139-1,"")</f>
        <v/>
      </c>
      <c r="AM137" s="55" t="str">
        <f>IFERROR(Inv_SY!X139/Inv_SY!$Z139-1,"")</f>
        <v/>
      </c>
    </row>
    <row r="138" spans="1:39" x14ac:dyDescent="0.3">
      <c r="A138" s="273">
        <f>YEAR(Table5[[#This Row],[Date]])+IF(MONTH(Table5[[#This Row],[Date]])&gt;=4,1,0)</f>
        <v>2026</v>
      </c>
      <c r="B138" s="273"/>
      <c r="C138" s="273">
        <f>YEAR(Table5[[#This Row],[Date]])</f>
        <v>2025</v>
      </c>
      <c r="D138" s="273"/>
      <c r="E138" s="273"/>
      <c r="F138" s="274" t="str">
        <f>TEXT(Table5[[#This Row],[Date]],"mmm-yy")</f>
        <v>Aug-25</v>
      </c>
      <c r="G138" s="273">
        <f t="shared" si="7"/>
        <v>31</v>
      </c>
      <c r="H138" s="275">
        <f t="shared" si="8"/>
        <v>45881</v>
      </c>
      <c r="I138" s="273">
        <v>8.02</v>
      </c>
      <c r="J138" s="55" t="str">
        <f>IFERROR(Inv_SY!J140/Inv_SY!$Y140-1,"")</f>
        <v/>
      </c>
      <c r="K138" s="55" t="str">
        <f>IFERROR(Inv_SY!K140/Inv_SY!$Y140-1,"")</f>
        <v/>
      </c>
      <c r="L138" s="55" t="str">
        <f>IFERROR(Inv_SY!L140/Inv_SY!$Y140-1,"")</f>
        <v/>
      </c>
      <c r="M138" s="55" t="str">
        <f>IFERROR(Inv_SY!M140/Inv_SY!$Y140-1,"")</f>
        <v/>
      </c>
      <c r="N138" s="55" t="str">
        <f>IFERROR(Inv_SY!N140/Inv_SY!$Y140-1,"")</f>
        <v/>
      </c>
      <c r="O138" s="55" t="str">
        <f>IFERROR(Inv_SY!O140/Inv_SY!$Y140-1,"")</f>
        <v/>
      </c>
      <c r="P138" s="55" t="str">
        <f>IFERROR(Inv_SY!P140/Inv_SY!$Y140-1,"")</f>
        <v/>
      </c>
      <c r="Q138" s="55" t="str">
        <f>IFERROR(Inv_SY!Q140/Inv_SY!$Y140-1,"")</f>
        <v/>
      </c>
      <c r="R138" s="55" t="str">
        <f>IFERROR(Inv_SY!R140/Inv_SY!$Y140-1,"")</f>
        <v/>
      </c>
      <c r="S138" s="55" t="str">
        <f>IFERROR(Inv_SY!S140/Inv_SY!$Y140-1,"")</f>
        <v/>
      </c>
      <c r="T138" s="55" t="str">
        <f>IFERROR(Inv_SY!T140/Inv_SY!$Y140-1,"")</f>
        <v/>
      </c>
      <c r="U138" s="55" t="str">
        <f>IFERROR(Inv_SY!U140/Inv_SY!$Y140-1,"")</f>
        <v/>
      </c>
      <c r="V138" s="55" t="str">
        <f>IFERROR(Inv_SY!J140/Inv_SY!$Z140-1,"")</f>
        <v/>
      </c>
      <c r="W138" s="55" t="str">
        <f>IFERROR(Inv_SY!K140/Inv_SY!$Z140-1,"")</f>
        <v/>
      </c>
      <c r="X138" s="55" t="str">
        <f>IFERROR(Inv_SY!L140/Inv_SY!$Z140-1,"")</f>
        <v/>
      </c>
      <c r="Y138" s="55" t="str">
        <f>IFERROR(Inv_SY!M140/Inv_SY!$Z140-1,"")</f>
        <v/>
      </c>
      <c r="Z138" s="55" t="str">
        <f>IFERROR(Inv_SY!N140/Inv_SY!$Z140-1,"")</f>
        <v/>
      </c>
      <c r="AA138" s="55" t="str">
        <f>IFERROR(Inv_SY!O140/Inv_SY!$Z140-1,"")</f>
        <v/>
      </c>
      <c r="AB138" s="55" t="str">
        <f>IFERROR(Inv_SY!P140/Inv_SY!$Z140-1,"")</f>
        <v/>
      </c>
      <c r="AC138" s="55" t="str">
        <f>IFERROR(Inv_SY!Q140/Inv_SY!$Z140-1,"")</f>
        <v/>
      </c>
      <c r="AD138" s="55" t="str">
        <f>IFERROR(Inv_SY!R140/Inv_SY!$Z140-1,"")</f>
        <v/>
      </c>
      <c r="AE138" s="55" t="str">
        <f>IFERROR(Inv_SY!S140/Inv_SY!$Z140-1,"")</f>
        <v/>
      </c>
      <c r="AF138" s="55" t="str">
        <f>IFERROR(Inv_SY!T140/Inv_SY!$Z140-1,"")</f>
        <v/>
      </c>
      <c r="AG138" s="55" t="str">
        <f>IFERROR(Inv_SY!U140/Inv_SY!$Z140-1,"")</f>
        <v/>
      </c>
      <c r="AH138" s="55" t="str">
        <f>IFERROR(Inv_SY!V140/Inv_SY!$Y140-1,"")</f>
        <v/>
      </c>
      <c r="AI138" s="55" t="str">
        <f>IFERROR(Inv_SY!W140/Inv_SY!$Y140-1,"")</f>
        <v/>
      </c>
      <c r="AJ138" s="55" t="str">
        <f>IFERROR(Inv_SY!X140/Inv_SY!$Y140-1,"")</f>
        <v/>
      </c>
      <c r="AK138" s="55" t="str">
        <f>IFERROR(Inv_SY!V140/Inv_SY!$Z140-1,"")</f>
        <v/>
      </c>
      <c r="AL138" s="55" t="str">
        <f>IFERROR(Inv_SY!W140/Inv_SY!$Z140-1,"")</f>
        <v/>
      </c>
      <c r="AM138" s="55" t="str">
        <f>IFERROR(Inv_SY!X140/Inv_SY!$Z140-1,"")</f>
        <v/>
      </c>
    </row>
    <row r="139" spans="1:39" x14ac:dyDescent="0.3">
      <c r="A139" s="273">
        <f>YEAR(Table5[[#This Row],[Date]])+IF(MONTH(Table5[[#This Row],[Date]])&gt;=4,1,0)</f>
        <v>2026</v>
      </c>
      <c r="B139" s="273"/>
      <c r="C139" s="273">
        <f>YEAR(Table5[[#This Row],[Date]])</f>
        <v>2025</v>
      </c>
      <c r="D139" s="273"/>
      <c r="E139" s="273"/>
      <c r="F139" s="274" t="str">
        <f>TEXT(Table5[[#This Row],[Date]],"mmm-yy")</f>
        <v>Aug-25</v>
      </c>
      <c r="G139" s="273">
        <f t="shared" si="7"/>
        <v>31</v>
      </c>
      <c r="H139" s="275">
        <f t="shared" si="8"/>
        <v>45882</v>
      </c>
      <c r="I139" s="273">
        <v>8.02</v>
      </c>
      <c r="J139" s="55" t="str">
        <f>IFERROR(Inv_SY!J141/Inv_SY!$Y141-1,"")</f>
        <v/>
      </c>
      <c r="K139" s="55" t="str">
        <f>IFERROR(Inv_SY!K141/Inv_SY!$Y141-1,"")</f>
        <v/>
      </c>
      <c r="L139" s="55" t="str">
        <f>IFERROR(Inv_SY!L141/Inv_SY!$Y141-1,"")</f>
        <v/>
      </c>
      <c r="M139" s="55" t="str">
        <f>IFERROR(Inv_SY!M141/Inv_SY!$Y141-1,"")</f>
        <v/>
      </c>
      <c r="N139" s="55" t="str">
        <f>IFERROR(Inv_SY!N141/Inv_SY!$Y141-1,"")</f>
        <v/>
      </c>
      <c r="O139" s="55" t="str">
        <f>IFERROR(Inv_SY!O141/Inv_SY!$Y141-1,"")</f>
        <v/>
      </c>
      <c r="P139" s="55" t="str">
        <f>IFERROR(Inv_SY!P141/Inv_SY!$Y141-1,"")</f>
        <v/>
      </c>
      <c r="Q139" s="55" t="str">
        <f>IFERROR(Inv_SY!Q141/Inv_SY!$Y141-1,"")</f>
        <v/>
      </c>
      <c r="R139" s="55" t="str">
        <f>IFERROR(Inv_SY!R141/Inv_SY!$Y141-1,"")</f>
        <v/>
      </c>
      <c r="S139" s="55" t="str">
        <f>IFERROR(Inv_SY!S141/Inv_SY!$Y141-1,"")</f>
        <v/>
      </c>
      <c r="T139" s="55" t="str">
        <f>IFERROR(Inv_SY!T141/Inv_SY!$Y141-1,"")</f>
        <v/>
      </c>
      <c r="U139" s="55" t="str">
        <f>IFERROR(Inv_SY!U141/Inv_SY!$Y141-1,"")</f>
        <v/>
      </c>
      <c r="V139" s="55" t="str">
        <f>IFERROR(Inv_SY!J141/Inv_SY!$Z141-1,"")</f>
        <v/>
      </c>
      <c r="W139" s="55" t="str">
        <f>IFERROR(Inv_SY!K141/Inv_SY!$Z141-1,"")</f>
        <v/>
      </c>
      <c r="X139" s="55" t="str">
        <f>IFERROR(Inv_SY!L141/Inv_SY!$Z141-1,"")</f>
        <v/>
      </c>
      <c r="Y139" s="55" t="str">
        <f>IFERROR(Inv_SY!M141/Inv_SY!$Z141-1,"")</f>
        <v/>
      </c>
      <c r="Z139" s="55" t="str">
        <f>IFERROR(Inv_SY!N141/Inv_SY!$Z141-1,"")</f>
        <v/>
      </c>
      <c r="AA139" s="55" t="str">
        <f>IFERROR(Inv_SY!O141/Inv_SY!$Z141-1,"")</f>
        <v/>
      </c>
      <c r="AB139" s="55" t="str">
        <f>IFERROR(Inv_SY!P141/Inv_SY!$Z141-1,"")</f>
        <v/>
      </c>
      <c r="AC139" s="55" t="str">
        <f>IFERROR(Inv_SY!Q141/Inv_SY!$Z141-1,"")</f>
        <v/>
      </c>
      <c r="AD139" s="55" t="str">
        <f>IFERROR(Inv_SY!R141/Inv_SY!$Z141-1,"")</f>
        <v/>
      </c>
      <c r="AE139" s="55" t="str">
        <f>IFERROR(Inv_SY!S141/Inv_SY!$Z141-1,"")</f>
        <v/>
      </c>
      <c r="AF139" s="55" t="str">
        <f>IFERROR(Inv_SY!T141/Inv_SY!$Z141-1,"")</f>
        <v/>
      </c>
      <c r="AG139" s="55" t="str">
        <f>IFERROR(Inv_SY!U141/Inv_SY!$Z141-1,"")</f>
        <v/>
      </c>
      <c r="AH139" s="55" t="str">
        <f>IFERROR(Inv_SY!V141/Inv_SY!$Y141-1,"")</f>
        <v/>
      </c>
      <c r="AI139" s="55" t="str">
        <f>IFERROR(Inv_SY!W141/Inv_SY!$Y141-1,"")</f>
        <v/>
      </c>
      <c r="AJ139" s="55" t="str">
        <f>IFERROR(Inv_SY!X141/Inv_SY!$Y141-1,"")</f>
        <v/>
      </c>
      <c r="AK139" s="55" t="str">
        <f>IFERROR(Inv_SY!V141/Inv_SY!$Z141-1,"")</f>
        <v/>
      </c>
      <c r="AL139" s="55" t="str">
        <f>IFERROR(Inv_SY!W141/Inv_SY!$Z141-1,"")</f>
        <v/>
      </c>
      <c r="AM139" s="55" t="str">
        <f>IFERROR(Inv_SY!X141/Inv_SY!$Z141-1,"")</f>
        <v/>
      </c>
    </row>
    <row r="140" spans="1:39" x14ac:dyDescent="0.3">
      <c r="A140" s="273">
        <f>YEAR(Table5[[#This Row],[Date]])+IF(MONTH(Table5[[#This Row],[Date]])&gt;=4,1,0)</f>
        <v>2026</v>
      </c>
      <c r="B140" s="273"/>
      <c r="C140" s="273">
        <f>YEAR(Table5[[#This Row],[Date]])</f>
        <v>2025</v>
      </c>
      <c r="D140" s="273"/>
      <c r="E140" s="273"/>
      <c r="F140" s="274" t="str">
        <f>TEXT(Table5[[#This Row],[Date]],"mmm-yy")</f>
        <v>Aug-25</v>
      </c>
      <c r="G140" s="273">
        <f t="shared" si="7"/>
        <v>31</v>
      </c>
      <c r="H140" s="275">
        <f t="shared" si="8"/>
        <v>45883</v>
      </c>
      <c r="I140" s="273">
        <v>8.02</v>
      </c>
      <c r="J140" s="55" t="str">
        <f>IFERROR(Inv_SY!J142/Inv_SY!$Y142-1,"")</f>
        <v/>
      </c>
      <c r="K140" s="55" t="str">
        <f>IFERROR(Inv_SY!K142/Inv_SY!$Y142-1,"")</f>
        <v/>
      </c>
      <c r="L140" s="55" t="str">
        <f>IFERROR(Inv_SY!L142/Inv_SY!$Y142-1,"")</f>
        <v/>
      </c>
      <c r="M140" s="55" t="str">
        <f>IFERROR(Inv_SY!M142/Inv_SY!$Y142-1,"")</f>
        <v/>
      </c>
      <c r="N140" s="55" t="str">
        <f>IFERROR(Inv_SY!N142/Inv_SY!$Y142-1,"")</f>
        <v/>
      </c>
      <c r="O140" s="55" t="str">
        <f>IFERROR(Inv_SY!O142/Inv_SY!$Y142-1,"")</f>
        <v/>
      </c>
      <c r="P140" s="55" t="str">
        <f>IFERROR(Inv_SY!P142/Inv_SY!$Y142-1,"")</f>
        <v/>
      </c>
      <c r="Q140" s="55" t="str">
        <f>IFERROR(Inv_SY!Q142/Inv_SY!$Y142-1,"")</f>
        <v/>
      </c>
      <c r="R140" s="55" t="str">
        <f>IFERROR(Inv_SY!R142/Inv_SY!$Y142-1,"")</f>
        <v/>
      </c>
      <c r="S140" s="55" t="str">
        <f>IFERROR(Inv_SY!S142/Inv_SY!$Y142-1,"")</f>
        <v/>
      </c>
      <c r="T140" s="55" t="str">
        <f>IFERROR(Inv_SY!T142/Inv_SY!$Y142-1,"")</f>
        <v/>
      </c>
      <c r="U140" s="55" t="str">
        <f>IFERROR(Inv_SY!U142/Inv_SY!$Y142-1,"")</f>
        <v/>
      </c>
      <c r="V140" s="55" t="str">
        <f>IFERROR(Inv_SY!J142/Inv_SY!$Z142-1,"")</f>
        <v/>
      </c>
      <c r="W140" s="55" t="str">
        <f>IFERROR(Inv_SY!K142/Inv_SY!$Z142-1,"")</f>
        <v/>
      </c>
      <c r="X140" s="55" t="str">
        <f>IFERROR(Inv_SY!L142/Inv_SY!$Z142-1,"")</f>
        <v/>
      </c>
      <c r="Y140" s="55" t="str">
        <f>IFERROR(Inv_SY!M142/Inv_SY!$Z142-1,"")</f>
        <v/>
      </c>
      <c r="Z140" s="55" t="str">
        <f>IFERROR(Inv_SY!N142/Inv_SY!$Z142-1,"")</f>
        <v/>
      </c>
      <c r="AA140" s="55" t="str">
        <f>IFERROR(Inv_SY!O142/Inv_SY!$Z142-1,"")</f>
        <v/>
      </c>
      <c r="AB140" s="55" t="str">
        <f>IFERROR(Inv_SY!P142/Inv_SY!$Z142-1,"")</f>
        <v/>
      </c>
      <c r="AC140" s="55" t="str">
        <f>IFERROR(Inv_SY!Q142/Inv_SY!$Z142-1,"")</f>
        <v/>
      </c>
      <c r="AD140" s="55" t="str">
        <f>IFERROR(Inv_SY!R142/Inv_SY!$Z142-1,"")</f>
        <v/>
      </c>
      <c r="AE140" s="55" t="str">
        <f>IFERROR(Inv_SY!S142/Inv_SY!$Z142-1,"")</f>
        <v/>
      </c>
      <c r="AF140" s="55" t="str">
        <f>IFERROR(Inv_SY!T142/Inv_SY!$Z142-1,"")</f>
        <v/>
      </c>
      <c r="AG140" s="55" t="str">
        <f>IFERROR(Inv_SY!U142/Inv_SY!$Z142-1,"")</f>
        <v/>
      </c>
      <c r="AH140" s="55" t="str">
        <f>IFERROR(Inv_SY!V142/Inv_SY!$Y142-1,"")</f>
        <v/>
      </c>
      <c r="AI140" s="55" t="str">
        <f>IFERROR(Inv_SY!W142/Inv_SY!$Y142-1,"")</f>
        <v/>
      </c>
      <c r="AJ140" s="55" t="str">
        <f>IFERROR(Inv_SY!X142/Inv_SY!$Y142-1,"")</f>
        <v/>
      </c>
      <c r="AK140" s="55" t="str">
        <f>IFERROR(Inv_SY!V142/Inv_SY!$Z142-1,"")</f>
        <v/>
      </c>
      <c r="AL140" s="55" t="str">
        <f>IFERROR(Inv_SY!W142/Inv_SY!$Z142-1,"")</f>
        <v/>
      </c>
      <c r="AM140" s="55" t="str">
        <f>IFERROR(Inv_SY!X142/Inv_SY!$Z142-1,"")</f>
        <v/>
      </c>
    </row>
    <row r="141" spans="1:39" x14ac:dyDescent="0.3">
      <c r="A141" s="273">
        <f>YEAR(Table5[[#This Row],[Date]])+IF(MONTH(Table5[[#This Row],[Date]])&gt;=4,1,0)</f>
        <v>2026</v>
      </c>
      <c r="B141" s="273"/>
      <c r="C141" s="273">
        <f>YEAR(Table5[[#This Row],[Date]])</f>
        <v>2025</v>
      </c>
      <c r="D141" s="273"/>
      <c r="E141" s="273"/>
      <c r="F141" s="274" t="str">
        <f>TEXT(Table5[[#This Row],[Date]],"mmm-yy")</f>
        <v>Aug-25</v>
      </c>
      <c r="G141" s="273">
        <f t="shared" si="7"/>
        <v>31</v>
      </c>
      <c r="H141" s="275">
        <f t="shared" si="8"/>
        <v>45884</v>
      </c>
      <c r="I141" s="273">
        <v>8.02</v>
      </c>
      <c r="J141" s="55" t="str">
        <f>IFERROR(Inv_SY!J143/Inv_SY!$Y143-1,"")</f>
        <v/>
      </c>
      <c r="K141" s="55" t="str">
        <f>IFERROR(Inv_SY!K143/Inv_SY!$Y143-1,"")</f>
        <v/>
      </c>
      <c r="L141" s="55" t="str">
        <f>IFERROR(Inv_SY!L143/Inv_SY!$Y143-1,"")</f>
        <v/>
      </c>
      <c r="M141" s="55" t="str">
        <f>IFERROR(Inv_SY!M143/Inv_SY!$Y143-1,"")</f>
        <v/>
      </c>
      <c r="N141" s="55" t="str">
        <f>IFERROR(Inv_SY!N143/Inv_SY!$Y143-1,"")</f>
        <v/>
      </c>
      <c r="O141" s="55" t="str">
        <f>IFERROR(Inv_SY!O143/Inv_SY!$Y143-1,"")</f>
        <v/>
      </c>
      <c r="P141" s="55" t="str">
        <f>IFERROR(Inv_SY!P143/Inv_SY!$Y143-1,"")</f>
        <v/>
      </c>
      <c r="Q141" s="55" t="str">
        <f>IFERROR(Inv_SY!Q143/Inv_SY!$Y143-1,"")</f>
        <v/>
      </c>
      <c r="R141" s="55" t="str">
        <f>IFERROR(Inv_SY!R143/Inv_SY!$Y143-1,"")</f>
        <v/>
      </c>
      <c r="S141" s="55" t="str">
        <f>IFERROR(Inv_SY!S143/Inv_SY!$Y143-1,"")</f>
        <v/>
      </c>
      <c r="T141" s="55" t="str">
        <f>IFERROR(Inv_SY!T143/Inv_SY!$Y143-1,"")</f>
        <v/>
      </c>
      <c r="U141" s="55" t="str">
        <f>IFERROR(Inv_SY!U143/Inv_SY!$Y143-1,"")</f>
        <v/>
      </c>
      <c r="V141" s="55" t="str">
        <f>IFERROR(Inv_SY!J143/Inv_SY!$Z143-1,"")</f>
        <v/>
      </c>
      <c r="W141" s="55" t="str">
        <f>IFERROR(Inv_SY!K143/Inv_SY!$Z143-1,"")</f>
        <v/>
      </c>
      <c r="X141" s="55" t="str">
        <f>IFERROR(Inv_SY!L143/Inv_SY!$Z143-1,"")</f>
        <v/>
      </c>
      <c r="Y141" s="55" t="str">
        <f>IFERROR(Inv_SY!M143/Inv_SY!$Z143-1,"")</f>
        <v/>
      </c>
      <c r="Z141" s="55" t="str">
        <f>IFERROR(Inv_SY!N143/Inv_SY!$Z143-1,"")</f>
        <v/>
      </c>
      <c r="AA141" s="55" t="str">
        <f>IFERROR(Inv_SY!O143/Inv_SY!$Z143-1,"")</f>
        <v/>
      </c>
      <c r="AB141" s="55" t="str">
        <f>IFERROR(Inv_SY!P143/Inv_SY!$Z143-1,"")</f>
        <v/>
      </c>
      <c r="AC141" s="55" t="str">
        <f>IFERROR(Inv_SY!Q143/Inv_SY!$Z143-1,"")</f>
        <v/>
      </c>
      <c r="AD141" s="55" t="str">
        <f>IFERROR(Inv_SY!R143/Inv_SY!$Z143-1,"")</f>
        <v/>
      </c>
      <c r="AE141" s="55" t="str">
        <f>IFERROR(Inv_SY!S143/Inv_SY!$Z143-1,"")</f>
        <v/>
      </c>
      <c r="AF141" s="55" t="str">
        <f>IFERROR(Inv_SY!T143/Inv_SY!$Z143-1,"")</f>
        <v/>
      </c>
      <c r="AG141" s="55" t="str">
        <f>IFERROR(Inv_SY!U143/Inv_SY!$Z143-1,"")</f>
        <v/>
      </c>
      <c r="AH141" s="55" t="str">
        <f>IFERROR(Inv_SY!V143/Inv_SY!$Y143-1,"")</f>
        <v/>
      </c>
      <c r="AI141" s="55" t="str">
        <f>IFERROR(Inv_SY!W143/Inv_SY!$Y143-1,"")</f>
        <v/>
      </c>
      <c r="AJ141" s="55" t="str">
        <f>IFERROR(Inv_SY!X143/Inv_SY!$Y143-1,"")</f>
        <v/>
      </c>
      <c r="AK141" s="55" t="str">
        <f>IFERROR(Inv_SY!V143/Inv_SY!$Z143-1,"")</f>
        <v/>
      </c>
      <c r="AL141" s="55" t="str">
        <f>IFERROR(Inv_SY!W143/Inv_SY!$Z143-1,"")</f>
        <v/>
      </c>
      <c r="AM141" s="55" t="str">
        <f>IFERROR(Inv_SY!X143/Inv_SY!$Z143-1,"")</f>
        <v/>
      </c>
    </row>
    <row r="142" spans="1:39" x14ac:dyDescent="0.3">
      <c r="A142" s="273">
        <f>YEAR(Table5[[#This Row],[Date]])+IF(MONTH(Table5[[#This Row],[Date]])&gt;=4,1,0)</f>
        <v>2026</v>
      </c>
      <c r="B142" s="273"/>
      <c r="C142" s="273">
        <f>YEAR(Table5[[#This Row],[Date]])</f>
        <v>2025</v>
      </c>
      <c r="D142" s="273"/>
      <c r="E142" s="273"/>
      <c r="F142" s="274" t="str">
        <f>TEXT(Table5[[#This Row],[Date]],"mmm-yy")</f>
        <v>Aug-25</v>
      </c>
      <c r="G142" s="273">
        <f t="shared" si="7"/>
        <v>31</v>
      </c>
      <c r="H142" s="275">
        <f t="shared" si="8"/>
        <v>45885</v>
      </c>
      <c r="I142" s="273">
        <v>8.02</v>
      </c>
      <c r="J142" s="55" t="str">
        <f>IFERROR(Inv_SY!J144/Inv_SY!$Y144-1,"")</f>
        <v/>
      </c>
      <c r="K142" s="55" t="str">
        <f>IFERROR(Inv_SY!K144/Inv_SY!$Y144-1,"")</f>
        <v/>
      </c>
      <c r="L142" s="55" t="str">
        <f>IFERROR(Inv_SY!L144/Inv_SY!$Y144-1,"")</f>
        <v/>
      </c>
      <c r="M142" s="55" t="str">
        <f>IFERROR(Inv_SY!M144/Inv_SY!$Y144-1,"")</f>
        <v/>
      </c>
      <c r="N142" s="55" t="str">
        <f>IFERROR(Inv_SY!N144/Inv_SY!$Y144-1,"")</f>
        <v/>
      </c>
      <c r="O142" s="55" t="str">
        <f>IFERROR(Inv_SY!O144/Inv_SY!$Y144-1,"")</f>
        <v/>
      </c>
      <c r="P142" s="55" t="str">
        <f>IFERROR(Inv_SY!P144/Inv_SY!$Y144-1,"")</f>
        <v/>
      </c>
      <c r="Q142" s="55" t="str">
        <f>IFERROR(Inv_SY!Q144/Inv_SY!$Y144-1,"")</f>
        <v/>
      </c>
      <c r="R142" s="55" t="str">
        <f>IFERROR(Inv_SY!R144/Inv_SY!$Y144-1,"")</f>
        <v/>
      </c>
      <c r="S142" s="55" t="str">
        <f>IFERROR(Inv_SY!S144/Inv_SY!$Y144-1,"")</f>
        <v/>
      </c>
      <c r="T142" s="55" t="str">
        <f>IFERROR(Inv_SY!T144/Inv_SY!$Y144-1,"")</f>
        <v/>
      </c>
      <c r="U142" s="55" t="str">
        <f>IFERROR(Inv_SY!U144/Inv_SY!$Y144-1,"")</f>
        <v/>
      </c>
      <c r="V142" s="55" t="str">
        <f>IFERROR(Inv_SY!J144/Inv_SY!$Z144-1,"")</f>
        <v/>
      </c>
      <c r="W142" s="55" t="str">
        <f>IFERROR(Inv_SY!K144/Inv_SY!$Z144-1,"")</f>
        <v/>
      </c>
      <c r="X142" s="55" t="str">
        <f>IFERROR(Inv_SY!L144/Inv_SY!$Z144-1,"")</f>
        <v/>
      </c>
      <c r="Y142" s="55" t="str">
        <f>IFERROR(Inv_SY!M144/Inv_SY!$Z144-1,"")</f>
        <v/>
      </c>
      <c r="Z142" s="55" t="str">
        <f>IFERROR(Inv_SY!N144/Inv_SY!$Z144-1,"")</f>
        <v/>
      </c>
      <c r="AA142" s="55" t="str">
        <f>IFERROR(Inv_SY!O144/Inv_SY!$Z144-1,"")</f>
        <v/>
      </c>
      <c r="AB142" s="55" t="str">
        <f>IFERROR(Inv_SY!P144/Inv_SY!$Z144-1,"")</f>
        <v/>
      </c>
      <c r="AC142" s="55" t="str">
        <f>IFERROR(Inv_SY!Q144/Inv_SY!$Z144-1,"")</f>
        <v/>
      </c>
      <c r="AD142" s="55" t="str">
        <f>IFERROR(Inv_SY!R144/Inv_SY!$Z144-1,"")</f>
        <v/>
      </c>
      <c r="AE142" s="55" t="str">
        <f>IFERROR(Inv_SY!S144/Inv_SY!$Z144-1,"")</f>
        <v/>
      </c>
      <c r="AF142" s="55" t="str">
        <f>IFERROR(Inv_SY!T144/Inv_SY!$Z144-1,"")</f>
        <v/>
      </c>
      <c r="AG142" s="55" t="str">
        <f>IFERROR(Inv_SY!U144/Inv_SY!$Z144-1,"")</f>
        <v/>
      </c>
      <c r="AH142" s="55" t="str">
        <f>IFERROR(Inv_SY!V144/Inv_SY!$Y144-1,"")</f>
        <v/>
      </c>
      <c r="AI142" s="55" t="str">
        <f>IFERROR(Inv_SY!W144/Inv_SY!$Y144-1,"")</f>
        <v/>
      </c>
      <c r="AJ142" s="55" t="str">
        <f>IFERROR(Inv_SY!X144/Inv_SY!$Y144-1,"")</f>
        <v/>
      </c>
      <c r="AK142" s="55" t="str">
        <f>IFERROR(Inv_SY!V144/Inv_SY!$Z144-1,"")</f>
        <v/>
      </c>
      <c r="AL142" s="55" t="str">
        <f>IFERROR(Inv_SY!W144/Inv_SY!$Z144-1,"")</f>
        <v/>
      </c>
      <c r="AM142" s="55" t="str">
        <f>IFERROR(Inv_SY!X144/Inv_SY!$Z144-1,"")</f>
        <v/>
      </c>
    </row>
    <row r="143" spans="1:39" x14ac:dyDescent="0.3">
      <c r="A143" s="273">
        <f>YEAR(Table5[[#This Row],[Date]])+IF(MONTH(Table5[[#This Row],[Date]])&gt;=4,1,0)</f>
        <v>2026</v>
      </c>
      <c r="B143" s="273"/>
      <c r="C143" s="273">
        <f>YEAR(Table5[[#This Row],[Date]])</f>
        <v>2025</v>
      </c>
      <c r="D143" s="273"/>
      <c r="E143" s="273"/>
      <c r="F143" s="274" t="str">
        <f>TEXT(Table5[[#This Row],[Date]],"mmm-yy")</f>
        <v>Aug-25</v>
      </c>
      <c r="G143" s="273">
        <f t="shared" si="7"/>
        <v>31</v>
      </c>
      <c r="H143" s="275">
        <f t="shared" si="8"/>
        <v>45886</v>
      </c>
      <c r="I143" s="273">
        <v>8.02</v>
      </c>
      <c r="J143" s="55" t="str">
        <f>IFERROR(Inv_SY!J145/Inv_SY!$Y145-1,"")</f>
        <v/>
      </c>
      <c r="K143" s="55" t="str">
        <f>IFERROR(Inv_SY!K145/Inv_SY!$Y145-1,"")</f>
        <v/>
      </c>
      <c r="L143" s="55" t="str">
        <f>IFERROR(Inv_SY!L145/Inv_SY!$Y145-1,"")</f>
        <v/>
      </c>
      <c r="M143" s="55" t="str">
        <f>IFERROR(Inv_SY!M145/Inv_SY!$Y145-1,"")</f>
        <v/>
      </c>
      <c r="N143" s="55" t="str">
        <f>IFERROR(Inv_SY!N145/Inv_SY!$Y145-1,"")</f>
        <v/>
      </c>
      <c r="O143" s="55" t="str">
        <f>IFERROR(Inv_SY!O145/Inv_SY!$Y145-1,"")</f>
        <v/>
      </c>
      <c r="P143" s="55" t="str">
        <f>IFERROR(Inv_SY!P145/Inv_SY!$Y145-1,"")</f>
        <v/>
      </c>
      <c r="Q143" s="55" t="str">
        <f>IFERROR(Inv_SY!Q145/Inv_SY!$Y145-1,"")</f>
        <v/>
      </c>
      <c r="R143" s="55" t="str">
        <f>IFERROR(Inv_SY!R145/Inv_SY!$Y145-1,"")</f>
        <v/>
      </c>
      <c r="S143" s="55" t="str">
        <f>IFERROR(Inv_SY!S145/Inv_SY!$Y145-1,"")</f>
        <v/>
      </c>
      <c r="T143" s="55" t="str">
        <f>IFERROR(Inv_SY!T145/Inv_SY!$Y145-1,"")</f>
        <v/>
      </c>
      <c r="U143" s="55" t="str">
        <f>IFERROR(Inv_SY!U145/Inv_SY!$Y145-1,"")</f>
        <v/>
      </c>
      <c r="V143" s="55" t="str">
        <f>IFERROR(Inv_SY!J145/Inv_SY!$Z145-1,"")</f>
        <v/>
      </c>
      <c r="W143" s="55" t="str">
        <f>IFERROR(Inv_SY!K145/Inv_SY!$Z145-1,"")</f>
        <v/>
      </c>
      <c r="X143" s="55" t="str">
        <f>IFERROR(Inv_SY!L145/Inv_SY!$Z145-1,"")</f>
        <v/>
      </c>
      <c r="Y143" s="55" t="str">
        <f>IFERROR(Inv_SY!M145/Inv_SY!$Z145-1,"")</f>
        <v/>
      </c>
      <c r="Z143" s="55" t="str">
        <f>IFERROR(Inv_SY!N145/Inv_SY!$Z145-1,"")</f>
        <v/>
      </c>
      <c r="AA143" s="55" t="str">
        <f>IFERROR(Inv_SY!O145/Inv_SY!$Z145-1,"")</f>
        <v/>
      </c>
      <c r="AB143" s="55" t="str">
        <f>IFERROR(Inv_SY!P145/Inv_SY!$Z145-1,"")</f>
        <v/>
      </c>
      <c r="AC143" s="55" t="str">
        <f>IFERROR(Inv_SY!Q145/Inv_SY!$Z145-1,"")</f>
        <v/>
      </c>
      <c r="AD143" s="55" t="str">
        <f>IFERROR(Inv_SY!R145/Inv_SY!$Z145-1,"")</f>
        <v/>
      </c>
      <c r="AE143" s="55" t="str">
        <f>IFERROR(Inv_SY!S145/Inv_SY!$Z145-1,"")</f>
        <v/>
      </c>
      <c r="AF143" s="55" t="str">
        <f>IFERROR(Inv_SY!T145/Inv_SY!$Z145-1,"")</f>
        <v/>
      </c>
      <c r="AG143" s="55" t="str">
        <f>IFERROR(Inv_SY!U145/Inv_SY!$Z145-1,"")</f>
        <v/>
      </c>
      <c r="AH143" s="55" t="str">
        <f>IFERROR(Inv_SY!V145/Inv_SY!$Y145-1,"")</f>
        <v/>
      </c>
      <c r="AI143" s="55" t="str">
        <f>IFERROR(Inv_SY!W145/Inv_SY!$Y145-1,"")</f>
        <v/>
      </c>
      <c r="AJ143" s="55" t="str">
        <f>IFERROR(Inv_SY!X145/Inv_SY!$Y145-1,"")</f>
        <v/>
      </c>
      <c r="AK143" s="55" t="str">
        <f>IFERROR(Inv_SY!V145/Inv_SY!$Z145-1,"")</f>
        <v/>
      </c>
      <c r="AL143" s="55" t="str">
        <f>IFERROR(Inv_SY!W145/Inv_SY!$Z145-1,"")</f>
        <v/>
      </c>
      <c r="AM143" s="55" t="str">
        <f>IFERROR(Inv_SY!X145/Inv_SY!$Z145-1,"")</f>
        <v/>
      </c>
    </row>
    <row r="144" spans="1:39" x14ac:dyDescent="0.3">
      <c r="A144" s="273">
        <f>YEAR(Table5[[#This Row],[Date]])+IF(MONTH(Table5[[#This Row],[Date]])&gt;=4,1,0)</f>
        <v>2026</v>
      </c>
      <c r="B144" s="273"/>
      <c r="C144" s="273">
        <f>YEAR(Table5[[#This Row],[Date]])</f>
        <v>2025</v>
      </c>
      <c r="D144" s="273"/>
      <c r="E144" s="273"/>
      <c r="F144" s="274" t="str">
        <f>TEXT(Table5[[#This Row],[Date]],"mmm-yy")</f>
        <v>Aug-25</v>
      </c>
      <c r="G144" s="273">
        <f t="shared" si="7"/>
        <v>31</v>
      </c>
      <c r="H144" s="275">
        <f t="shared" si="8"/>
        <v>45887</v>
      </c>
      <c r="I144" s="273">
        <v>8.02</v>
      </c>
      <c r="J144" s="55" t="str">
        <f>IFERROR(Inv_SY!J146/Inv_SY!$Y146-1,"")</f>
        <v/>
      </c>
      <c r="K144" s="55" t="str">
        <f>IFERROR(Inv_SY!K146/Inv_SY!$Y146-1,"")</f>
        <v/>
      </c>
      <c r="L144" s="55" t="str">
        <f>IFERROR(Inv_SY!L146/Inv_SY!$Y146-1,"")</f>
        <v/>
      </c>
      <c r="M144" s="55" t="str">
        <f>IFERROR(Inv_SY!M146/Inv_SY!$Y146-1,"")</f>
        <v/>
      </c>
      <c r="N144" s="55" t="str">
        <f>IFERROR(Inv_SY!N146/Inv_SY!$Y146-1,"")</f>
        <v/>
      </c>
      <c r="O144" s="55" t="str">
        <f>IFERROR(Inv_SY!O146/Inv_SY!$Y146-1,"")</f>
        <v/>
      </c>
      <c r="P144" s="55" t="str">
        <f>IFERROR(Inv_SY!P146/Inv_SY!$Y146-1,"")</f>
        <v/>
      </c>
      <c r="Q144" s="55" t="str">
        <f>IFERROR(Inv_SY!Q146/Inv_SY!$Y146-1,"")</f>
        <v/>
      </c>
      <c r="R144" s="55" t="str">
        <f>IFERROR(Inv_SY!R146/Inv_SY!$Y146-1,"")</f>
        <v/>
      </c>
      <c r="S144" s="55" t="str">
        <f>IFERROR(Inv_SY!S146/Inv_SY!$Y146-1,"")</f>
        <v/>
      </c>
      <c r="T144" s="55" t="str">
        <f>IFERROR(Inv_SY!T146/Inv_SY!$Y146-1,"")</f>
        <v/>
      </c>
      <c r="U144" s="55" t="str">
        <f>IFERROR(Inv_SY!U146/Inv_SY!$Y146-1,"")</f>
        <v/>
      </c>
      <c r="V144" s="55" t="str">
        <f>IFERROR(Inv_SY!J146/Inv_SY!$Z146-1,"")</f>
        <v/>
      </c>
      <c r="W144" s="55" t="str">
        <f>IFERROR(Inv_SY!K146/Inv_SY!$Z146-1,"")</f>
        <v/>
      </c>
      <c r="X144" s="55" t="str">
        <f>IFERROR(Inv_SY!L146/Inv_SY!$Z146-1,"")</f>
        <v/>
      </c>
      <c r="Y144" s="55" t="str">
        <f>IFERROR(Inv_SY!M146/Inv_SY!$Z146-1,"")</f>
        <v/>
      </c>
      <c r="Z144" s="55" t="str">
        <f>IFERROR(Inv_SY!N146/Inv_SY!$Z146-1,"")</f>
        <v/>
      </c>
      <c r="AA144" s="55" t="str">
        <f>IFERROR(Inv_SY!O146/Inv_SY!$Z146-1,"")</f>
        <v/>
      </c>
      <c r="AB144" s="55" t="str">
        <f>IFERROR(Inv_SY!P146/Inv_SY!$Z146-1,"")</f>
        <v/>
      </c>
      <c r="AC144" s="55" t="str">
        <f>IFERROR(Inv_SY!Q146/Inv_SY!$Z146-1,"")</f>
        <v/>
      </c>
      <c r="AD144" s="55" t="str">
        <f>IFERROR(Inv_SY!R146/Inv_SY!$Z146-1,"")</f>
        <v/>
      </c>
      <c r="AE144" s="55" t="str">
        <f>IFERROR(Inv_SY!S146/Inv_SY!$Z146-1,"")</f>
        <v/>
      </c>
      <c r="AF144" s="55" t="str">
        <f>IFERROR(Inv_SY!T146/Inv_SY!$Z146-1,"")</f>
        <v/>
      </c>
      <c r="AG144" s="55" t="str">
        <f>IFERROR(Inv_SY!U146/Inv_SY!$Z146-1,"")</f>
        <v/>
      </c>
      <c r="AH144" s="55" t="str">
        <f>IFERROR(Inv_SY!V146/Inv_SY!$Y146-1,"")</f>
        <v/>
      </c>
      <c r="AI144" s="55" t="str">
        <f>IFERROR(Inv_SY!W146/Inv_SY!$Y146-1,"")</f>
        <v/>
      </c>
      <c r="AJ144" s="55" t="str">
        <f>IFERROR(Inv_SY!X146/Inv_SY!$Y146-1,"")</f>
        <v/>
      </c>
      <c r="AK144" s="55" t="str">
        <f>IFERROR(Inv_SY!V146/Inv_SY!$Z146-1,"")</f>
        <v/>
      </c>
      <c r="AL144" s="55" t="str">
        <f>IFERROR(Inv_SY!W146/Inv_SY!$Z146-1,"")</f>
        <v/>
      </c>
      <c r="AM144" s="55" t="str">
        <f>IFERROR(Inv_SY!X146/Inv_SY!$Z146-1,"")</f>
        <v/>
      </c>
    </row>
    <row r="145" spans="1:39" x14ac:dyDescent="0.3">
      <c r="A145" s="273">
        <f>YEAR(Table5[[#This Row],[Date]])+IF(MONTH(Table5[[#This Row],[Date]])&gt;=4,1,0)</f>
        <v>2026</v>
      </c>
      <c r="B145" s="273"/>
      <c r="C145" s="273">
        <f>YEAR(Table5[[#This Row],[Date]])</f>
        <v>2025</v>
      </c>
      <c r="D145" s="273"/>
      <c r="E145" s="273"/>
      <c r="F145" s="274" t="str">
        <f>TEXT(Table5[[#This Row],[Date]],"mmm-yy")</f>
        <v>Aug-25</v>
      </c>
      <c r="G145" s="273">
        <f t="shared" si="7"/>
        <v>31</v>
      </c>
      <c r="H145" s="275">
        <f t="shared" si="8"/>
        <v>45888</v>
      </c>
      <c r="I145" s="273">
        <v>8.02</v>
      </c>
      <c r="J145" s="55" t="str">
        <f>IFERROR(Inv_SY!J147/Inv_SY!$Y147-1,"")</f>
        <v/>
      </c>
      <c r="K145" s="55" t="str">
        <f>IFERROR(Inv_SY!K147/Inv_SY!$Y147-1,"")</f>
        <v/>
      </c>
      <c r="L145" s="55" t="str">
        <f>IFERROR(Inv_SY!L147/Inv_SY!$Y147-1,"")</f>
        <v/>
      </c>
      <c r="M145" s="55" t="str">
        <f>IFERROR(Inv_SY!M147/Inv_SY!$Y147-1,"")</f>
        <v/>
      </c>
      <c r="N145" s="55" t="str">
        <f>IFERROR(Inv_SY!N147/Inv_SY!$Y147-1,"")</f>
        <v/>
      </c>
      <c r="O145" s="55" t="str">
        <f>IFERROR(Inv_SY!O147/Inv_SY!$Y147-1,"")</f>
        <v/>
      </c>
      <c r="P145" s="55" t="str">
        <f>IFERROR(Inv_SY!P147/Inv_SY!$Y147-1,"")</f>
        <v/>
      </c>
      <c r="Q145" s="55" t="str">
        <f>IFERROR(Inv_SY!Q147/Inv_SY!$Y147-1,"")</f>
        <v/>
      </c>
      <c r="R145" s="55" t="str">
        <f>IFERROR(Inv_SY!R147/Inv_SY!$Y147-1,"")</f>
        <v/>
      </c>
      <c r="S145" s="55" t="str">
        <f>IFERROR(Inv_SY!S147/Inv_SY!$Y147-1,"")</f>
        <v/>
      </c>
      <c r="T145" s="55" t="str">
        <f>IFERROR(Inv_SY!T147/Inv_SY!$Y147-1,"")</f>
        <v/>
      </c>
      <c r="U145" s="55" t="str">
        <f>IFERROR(Inv_SY!U147/Inv_SY!$Y147-1,"")</f>
        <v/>
      </c>
      <c r="V145" s="55" t="str">
        <f>IFERROR(Inv_SY!J147/Inv_SY!$Z147-1,"")</f>
        <v/>
      </c>
      <c r="W145" s="55" t="str">
        <f>IFERROR(Inv_SY!K147/Inv_SY!$Z147-1,"")</f>
        <v/>
      </c>
      <c r="X145" s="55" t="str">
        <f>IFERROR(Inv_SY!L147/Inv_SY!$Z147-1,"")</f>
        <v/>
      </c>
      <c r="Y145" s="55" t="str">
        <f>IFERROR(Inv_SY!M147/Inv_SY!$Z147-1,"")</f>
        <v/>
      </c>
      <c r="Z145" s="55" t="str">
        <f>IFERROR(Inv_SY!N147/Inv_SY!$Z147-1,"")</f>
        <v/>
      </c>
      <c r="AA145" s="55" t="str">
        <f>IFERROR(Inv_SY!O147/Inv_SY!$Z147-1,"")</f>
        <v/>
      </c>
      <c r="AB145" s="55" t="str">
        <f>IFERROR(Inv_SY!P147/Inv_SY!$Z147-1,"")</f>
        <v/>
      </c>
      <c r="AC145" s="55" t="str">
        <f>IFERROR(Inv_SY!Q147/Inv_SY!$Z147-1,"")</f>
        <v/>
      </c>
      <c r="AD145" s="55" t="str">
        <f>IFERROR(Inv_SY!R147/Inv_SY!$Z147-1,"")</f>
        <v/>
      </c>
      <c r="AE145" s="55" t="str">
        <f>IFERROR(Inv_SY!S147/Inv_SY!$Z147-1,"")</f>
        <v/>
      </c>
      <c r="AF145" s="55" t="str">
        <f>IFERROR(Inv_SY!T147/Inv_SY!$Z147-1,"")</f>
        <v/>
      </c>
      <c r="AG145" s="55" t="str">
        <f>IFERROR(Inv_SY!U147/Inv_SY!$Z147-1,"")</f>
        <v/>
      </c>
      <c r="AH145" s="55" t="str">
        <f>IFERROR(Inv_SY!V147/Inv_SY!$Y147-1,"")</f>
        <v/>
      </c>
      <c r="AI145" s="55" t="str">
        <f>IFERROR(Inv_SY!W147/Inv_SY!$Y147-1,"")</f>
        <v/>
      </c>
      <c r="AJ145" s="55" t="str">
        <f>IFERROR(Inv_SY!X147/Inv_SY!$Y147-1,"")</f>
        <v/>
      </c>
      <c r="AK145" s="55" t="str">
        <f>IFERROR(Inv_SY!V147/Inv_SY!$Z147-1,"")</f>
        <v/>
      </c>
      <c r="AL145" s="55" t="str">
        <f>IFERROR(Inv_SY!W147/Inv_SY!$Z147-1,"")</f>
        <v/>
      </c>
      <c r="AM145" s="55" t="str">
        <f>IFERROR(Inv_SY!X147/Inv_SY!$Z147-1,"")</f>
        <v/>
      </c>
    </row>
    <row r="146" spans="1:39" x14ac:dyDescent="0.3">
      <c r="A146" s="273">
        <f>YEAR(Table5[[#This Row],[Date]])+IF(MONTH(Table5[[#This Row],[Date]])&gt;=4,1,0)</f>
        <v>2026</v>
      </c>
      <c r="B146" s="273"/>
      <c r="C146" s="273">
        <f>YEAR(Table5[[#This Row],[Date]])</f>
        <v>2025</v>
      </c>
      <c r="D146" s="273"/>
      <c r="E146" s="273"/>
      <c r="F146" s="274" t="str">
        <f>TEXT(Table5[[#This Row],[Date]],"mmm-yy")</f>
        <v>Aug-25</v>
      </c>
      <c r="G146" s="273">
        <f t="shared" si="7"/>
        <v>31</v>
      </c>
      <c r="H146" s="275">
        <f t="shared" si="8"/>
        <v>45889</v>
      </c>
      <c r="I146" s="273">
        <v>8.02</v>
      </c>
      <c r="J146" s="55" t="str">
        <f>IFERROR(Inv_SY!J148/Inv_SY!$Y148-1,"")</f>
        <v/>
      </c>
      <c r="K146" s="55" t="str">
        <f>IFERROR(Inv_SY!K148/Inv_SY!$Y148-1,"")</f>
        <v/>
      </c>
      <c r="L146" s="55" t="str">
        <f>IFERROR(Inv_SY!L148/Inv_SY!$Y148-1,"")</f>
        <v/>
      </c>
      <c r="M146" s="55" t="str">
        <f>IFERROR(Inv_SY!M148/Inv_SY!$Y148-1,"")</f>
        <v/>
      </c>
      <c r="N146" s="55" t="str">
        <f>IFERROR(Inv_SY!N148/Inv_SY!$Y148-1,"")</f>
        <v/>
      </c>
      <c r="O146" s="55" t="str">
        <f>IFERROR(Inv_SY!O148/Inv_SY!$Y148-1,"")</f>
        <v/>
      </c>
      <c r="P146" s="55" t="str">
        <f>IFERROR(Inv_SY!P148/Inv_SY!$Y148-1,"")</f>
        <v/>
      </c>
      <c r="Q146" s="55" t="str">
        <f>IFERROR(Inv_SY!Q148/Inv_SY!$Y148-1,"")</f>
        <v/>
      </c>
      <c r="R146" s="55" t="str">
        <f>IFERROR(Inv_SY!R148/Inv_SY!$Y148-1,"")</f>
        <v/>
      </c>
      <c r="S146" s="55" t="str">
        <f>IFERROR(Inv_SY!S148/Inv_SY!$Y148-1,"")</f>
        <v/>
      </c>
      <c r="T146" s="55" t="str">
        <f>IFERROR(Inv_SY!T148/Inv_SY!$Y148-1,"")</f>
        <v/>
      </c>
      <c r="U146" s="55" t="str">
        <f>IFERROR(Inv_SY!U148/Inv_SY!$Y148-1,"")</f>
        <v/>
      </c>
      <c r="V146" s="55" t="str">
        <f>IFERROR(Inv_SY!J148/Inv_SY!$Z148-1,"")</f>
        <v/>
      </c>
      <c r="W146" s="55" t="str">
        <f>IFERROR(Inv_SY!K148/Inv_SY!$Z148-1,"")</f>
        <v/>
      </c>
      <c r="X146" s="55" t="str">
        <f>IFERROR(Inv_SY!L148/Inv_SY!$Z148-1,"")</f>
        <v/>
      </c>
      <c r="Y146" s="55" t="str">
        <f>IFERROR(Inv_SY!M148/Inv_SY!$Z148-1,"")</f>
        <v/>
      </c>
      <c r="Z146" s="55" t="str">
        <f>IFERROR(Inv_SY!N148/Inv_SY!$Z148-1,"")</f>
        <v/>
      </c>
      <c r="AA146" s="55" t="str">
        <f>IFERROR(Inv_SY!O148/Inv_SY!$Z148-1,"")</f>
        <v/>
      </c>
      <c r="AB146" s="55" t="str">
        <f>IFERROR(Inv_SY!P148/Inv_SY!$Z148-1,"")</f>
        <v/>
      </c>
      <c r="AC146" s="55" t="str">
        <f>IFERROR(Inv_SY!Q148/Inv_SY!$Z148-1,"")</f>
        <v/>
      </c>
      <c r="AD146" s="55" t="str">
        <f>IFERROR(Inv_SY!R148/Inv_SY!$Z148-1,"")</f>
        <v/>
      </c>
      <c r="AE146" s="55" t="str">
        <f>IFERROR(Inv_SY!S148/Inv_SY!$Z148-1,"")</f>
        <v/>
      </c>
      <c r="AF146" s="55" t="str">
        <f>IFERROR(Inv_SY!T148/Inv_SY!$Z148-1,"")</f>
        <v/>
      </c>
      <c r="AG146" s="55" t="str">
        <f>IFERROR(Inv_SY!U148/Inv_SY!$Z148-1,"")</f>
        <v/>
      </c>
      <c r="AH146" s="55" t="str">
        <f>IFERROR(Inv_SY!V148/Inv_SY!$Y148-1,"")</f>
        <v/>
      </c>
      <c r="AI146" s="55" t="str">
        <f>IFERROR(Inv_SY!W148/Inv_SY!$Y148-1,"")</f>
        <v/>
      </c>
      <c r="AJ146" s="55" t="str">
        <f>IFERROR(Inv_SY!X148/Inv_SY!$Y148-1,"")</f>
        <v/>
      </c>
      <c r="AK146" s="55" t="str">
        <f>IFERROR(Inv_SY!V148/Inv_SY!$Z148-1,"")</f>
        <v/>
      </c>
      <c r="AL146" s="55" t="str">
        <f>IFERROR(Inv_SY!W148/Inv_SY!$Z148-1,"")</f>
        <v/>
      </c>
      <c r="AM146" s="55" t="str">
        <f>IFERROR(Inv_SY!X148/Inv_SY!$Z148-1,"")</f>
        <v/>
      </c>
    </row>
    <row r="147" spans="1:39" x14ac:dyDescent="0.3">
      <c r="A147" s="273">
        <f>YEAR(Table5[[#This Row],[Date]])+IF(MONTH(Table5[[#This Row],[Date]])&gt;=4,1,0)</f>
        <v>2026</v>
      </c>
      <c r="B147" s="273"/>
      <c r="C147" s="273">
        <f>YEAR(Table5[[#This Row],[Date]])</f>
        <v>2025</v>
      </c>
      <c r="D147" s="273"/>
      <c r="E147" s="273"/>
      <c r="F147" s="274" t="str">
        <f>TEXT(Table5[[#This Row],[Date]],"mmm-yy")</f>
        <v>Aug-25</v>
      </c>
      <c r="G147" s="273">
        <f t="shared" si="7"/>
        <v>31</v>
      </c>
      <c r="H147" s="275">
        <f t="shared" si="8"/>
        <v>45890</v>
      </c>
      <c r="I147" s="273">
        <v>8.02</v>
      </c>
      <c r="J147" s="55" t="str">
        <f>IFERROR(Inv_SY!J149/Inv_SY!$Y149-1,"")</f>
        <v/>
      </c>
      <c r="K147" s="55" t="str">
        <f>IFERROR(Inv_SY!K149/Inv_SY!$Y149-1,"")</f>
        <v/>
      </c>
      <c r="L147" s="55" t="str">
        <f>IFERROR(Inv_SY!L149/Inv_SY!$Y149-1,"")</f>
        <v/>
      </c>
      <c r="M147" s="55" t="str">
        <f>IFERROR(Inv_SY!M149/Inv_SY!$Y149-1,"")</f>
        <v/>
      </c>
      <c r="N147" s="55" t="str">
        <f>IFERROR(Inv_SY!N149/Inv_SY!$Y149-1,"")</f>
        <v/>
      </c>
      <c r="O147" s="55" t="str">
        <f>IFERROR(Inv_SY!O149/Inv_SY!$Y149-1,"")</f>
        <v/>
      </c>
      <c r="P147" s="55" t="str">
        <f>IFERROR(Inv_SY!P149/Inv_SY!$Y149-1,"")</f>
        <v/>
      </c>
      <c r="Q147" s="55" t="str">
        <f>IFERROR(Inv_SY!Q149/Inv_SY!$Y149-1,"")</f>
        <v/>
      </c>
      <c r="R147" s="55" t="str">
        <f>IFERROR(Inv_SY!R149/Inv_SY!$Y149-1,"")</f>
        <v/>
      </c>
      <c r="S147" s="55" t="str">
        <f>IFERROR(Inv_SY!S149/Inv_SY!$Y149-1,"")</f>
        <v/>
      </c>
      <c r="T147" s="55" t="str">
        <f>IFERROR(Inv_SY!T149/Inv_SY!$Y149-1,"")</f>
        <v/>
      </c>
      <c r="U147" s="55" t="str">
        <f>IFERROR(Inv_SY!U149/Inv_SY!$Y149-1,"")</f>
        <v/>
      </c>
      <c r="V147" s="55" t="str">
        <f>IFERROR(Inv_SY!J149/Inv_SY!$Z149-1,"")</f>
        <v/>
      </c>
      <c r="W147" s="55" t="str">
        <f>IFERROR(Inv_SY!K149/Inv_SY!$Z149-1,"")</f>
        <v/>
      </c>
      <c r="X147" s="55" t="str">
        <f>IFERROR(Inv_SY!L149/Inv_SY!$Z149-1,"")</f>
        <v/>
      </c>
      <c r="Y147" s="55" t="str">
        <f>IFERROR(Inv_SY!M149/Inv_SY!$Z149-1,"")</f>
        <v/>
      </c>
      <c r="Z147" s="55" t="str">
        <f>IFERROR(Inv_SY!N149/Inv_SY!$Z149-1,"")</f>
        <v/>
      </c>
      <c r="AA147" s="55" t="str">
        <f>IFERROR(Inv_SY!O149/Inv_SY!$Z149-1,"")</f>
        <v/>
      </c>
      <c r="AB147" s="55" t="str">
        <f>IFERROR(Inv_SY!P149/Inv_SY!$Z149-1,"")</f>
        <v/>
      </c>
      <c r="AC147" s="55" t="str">
        <f>IFERROR(Inv_SY!Q149/Inv_SY!$Z149-1,"")</f>
        <v/>
      </c>
      <c r="AD147" s="55" t="str">
        <f>IFERROR(Inv_SY!R149/Inv_SY!$Z149-1,"")</f>
        <v/>
      </c>
      <c r="AE147" s="55" t="str">
        <f>IFERROR(Inv_SY!S149/Inv_SY!$Z149-1,"")</f>
        <v/>
      </c>
      <c r="AF147" s="55" t="str">
        <f>IFERROR(Inv_SY!T149/Inv_SY!$Z149-1,"")</f>
        <v/>
      </c>
      <c r="AG147" s="55" t="str">
        <f>IFERROR(Inv_SY!U149/Inv_SY!$Z149-1,"")</f>
        <v/>
      </c>
      <c r="AH147" s="55" t="str">
        <f>IFERROR(Inv_SY!V149/Inv_SY!$Y149-1,"")</f>
        <v/>
      </c>
      <c r="AI147" s="55" t="str">
        <f>IFERROR(Inv_SY!W149/Inv_SY!$Y149-1,"")</f>
        <v/>
      </c>
      <c r="AJ147" s="55" t="str">
        <f>IFERROR(Inv_SY!X149/Inv_SY!$Y149-1,"")</f>
        <v/>
      </c>
      <c r="AK147" s="55" t="str">
        <f>IFERROR(Inv_SY!V149/Inv_SY!$Z149-1,"")</f>
        <v/>
      </c>
      <c r="AL147" s="55" t="str">
        <f>IFERROR(Inv_SY!W149/Inv_SY!$Z149-1,"")</f>
        <v/>
      </c>
      <c r="AM147" s="55" t="str">
        <f>IFERROR(Inv_SY!X149/Inv_SY!$Z149-1,"")</f>
        <v/>
      </c>
    </row>
    <row r="148" spans="1:39" x14ac:dyDescent="0.3">
      <c r="A148" s="273">
        <f>YEAR(Table5[[#This Row],[Date]])+IF(MONTH(Table5[[#This Row],[Date]])&gt;=4,1,0)</f>
        <v>2026</v>
      </c>
      <c r="B148" s="273"/>
      <c r="C148" s="273">
        <f>YEAR(Table5[[#This Row],[Date]])</f>
        <v>2025</v>
      </c>
      <c r="D148" s="273"/>
      <c r="E148" s="273"/>
      <c r="F148" s="274" t="str">
        <f>TEXT(Table5[[#This Row],[Date]],"mmm-yy")</f>
        <v>Aug-25</v>
      </c>
      <c r="G148" s="273">
        <f t="shared" si="7"/>
        <v>31</v>
      </c>
      <c r="H148" s="275">
        <f t="shared" si="8"/>
        <v>45891</v>
      </c>
      <c r="I148" s="273">
        <v>8.02</v>
      </c>
      <c r="J148" s="55" t="str">
        <f>IFERROR(Inv_SY!J150/Inv_SY!$Y150-1,"")</f>
        <v/>
      </c>
      <c r="K148" s="55" t="str">
        <f>IFERROR(Inv_SY!K150/Inv_SY!$Y150-1,"")</f>
        <v/>
      </c>
      <c r="L148" s="55" t="str">
        <f>IFERROR(Inv_SY!L150/Inv_SY!$Y150-1,"")</f>
        <v/>
      </c>
      <c r="M148" s="55" t="str">
        <f>IFERROR(Inv_SY!M150/Inv_SY!$Y150-1,"")</f>
        <v/>
      </c>
      <c r="N148" s="55" t="str">
        <f>IFERROR(Inv_SY!N150/Inv_SY!$Y150-1,"")</f>
        <v/>
      </c>
      <c r="O148" s="55" t="str">
        <f>IFERROR(Inv_SY!O150/Inv_SY!$Y150-1,"")</f>
        <v/>
      </c>
      <c r="P148" s="55" t="str">
        <f>IFERROR(Inv_SY!P150/Inv_SY!$Y150-1,"")</f>
        <v/>
      </c>
      <c r="Q148" s="55" t="str">
        <f>IFERROR(Inv_SY!Q150/Inv_SY!$Y150-1,"")</f>
        <v/>
      </c>
      <c r="R148" s="55" t="str">
        <f>IFERROR(Inv_SY!R150/Inv_SY!$Y150-1,"")</f>
        <v/>
      </c>
      <c r="S148" s="55" t="str">
        <f>IFERROR(Inv_SY!S150/Inv_SY!$Y150-1,"")</f>
        <v/>
      </c>
      <c r="T148" s="55" t="str">
        <f>IFERROR(Inv_SY!T150/Inv_SY!$Y150-1,"")</f>
        <v/>
      </c>
      <c r="U148" s="55" t="str">
        <f>IFERROR(Inv_SY!U150/Inv_SY!$Y150-1,"")</f>
        <v/>
      </c>
      <c r="V148" s="55" t="str">
        <f>IFERROR(Inv_SY!J150/Inv_SY!$Z150-1,"")</f>
        <v/>
      </c>
      <c r="W148" s="55" t="str">
        <f>IFERROR(Inv_SY!K150/Inv_SY!$Z150-1,"")</f>
        <v/>
      </c>
      <c r="X148" s="55" t="str">
        <f>IFERROR(Inv_SY!L150/Inv_SY!$Z150-1,"")</f>
        <v/>
      </c>
      <c r="Y148" s="55" t="str">
        <f>IFERROR(Inv_SY!M150/Inv_SY!$Z150-1,"")</f>
        <v/>
      </c>
      <c r="Z148" s="55" t="str">
        <f>IFERROR(Inv_SY!N150/Inv_SY!$Z150-1,"")</f>
        <v/>
      </c>
      <c r="AA148" s="55" t="str">
        <f>IFERROR(Inv_SY!O150/Inv_SY!$Z150-1,"")</f>
        <v/>
      </c>
      <c r="AB148" s="55" t="str">
        <f>IFERROR(Inv_SY!P150/Inv_SY!$Z150-1,"")</f>
        <v/>
      </c>
      <c r="AC148" s="55" t="str">
        <f>IFERROR(Inv_SY!Q150/Inv_SY!$Z150-1,"")</f>
        <v/>
      </c>
      <c r="AD148" s="55" t="str">
        <f>IFERROR(Inv_SY!R150/Inv_SY!$Z150-1,"")</f>
        <v/>
      </c>
      <c r="AE148" s="55" t="str">
        <f>IFERROR(Inv_SY!S150/Inv_SY!$Z150-1,"")</f>
        <v/>
      </c>
      <c r="AF148" s="55" t="str">
        <f>IFERROR(Inv_SY!T150/Inv_SY!$Z150-1,"")</f>
        <v/>
      </c>
      <c r="AG148" s="55" t="str">
        <f>IFERROR(Inv_SY!U150/Inv_SY!$Z150-1,"")</f>
        <v/>
      </c>
      <c r="AH148" s="55" t="str">
        <f>IFERROR(Inv_SY!V150/Inv_SY!$Y150-1,"")</f>
        <v/>
      </c>
      <c r="AI148" s="55" t="str">
        <f>IFERROR(Inv_SY!W150/Inv_SY!$Y150-1,"")</f>
        <v/>
      </c>
      <c r="AJ148" s="55" t="str">
        <f>IFERROR(Inv_SY!X150/Inv_SY!$Y150-1,"")</f>
        <v/>
      </c>
      <c r="AK148" s="55" t="str">
        <f>IFERROR(Inv_SY!V150/Inv_SY!$Z150-1,"")</f>
        <v/>
      </c>
      <c r="AL148" s="55" t="str">
        <f>IFERROR(Inv_SY!W150/Inv_SY!$Z150-1,"")</f>
        <v/>
      </c>
      <c r="AM148" s="55" t="str">
        <f>IFERROR(Inv_SY!X150/Inv_SY!$Z150-1,"")</f>
        <v/>
      </c>
    </row>
    <row r="149" spans="1:39" x14ac:dyDescent="0.3">
      <c r="A149" s="273">
        <f>YEAR(Table5[[#This Row],[Date]])+IF(MONTH(Table5[[#This Row],[Date]])&gt;=4,1,0)</f>
        <v>2026</v>
      </c>
      <c r="B149" s="273"/>
      <c r="C149" s="273">
        <f>YEAR(Table5[[#This Row],[Date]])</f>
        <v>2025</v>
      </c>
      <c r="D149" s="273"/>
      <c r="E149" s="273"/>
      <c r="F149" s="274" t="str">
        <f>TEXT(Table5[[#This Row],[Date]],"mmm-yy")</f>
        <v>Aug-25</v>
      </c>
      <c r="G149" s="273">
        <f t="shared" si="7"/>
        <v>31</v>
      </c>
      <c r="H149" s="275">
        <f t="shared" si="8"/>
        <v>45892</v>
      </c>
      <c r="I149" s="273">
        <v>8.02</v>
      </c>
      <c r="J149" s="55" t="str">
        <f>IFERROR(Inv_SY!J151/Inv_SY!$Y151-1,"")</f>
        <v/>
      </c>
      <c r="K149" s="55" t="str">
        <f>IFERROR(Inv_SY!K151/Inv_SY!$Y151-1,"")</f>
        <v/>
      </c>
      <c r="L149" s="55" t="str">
        <f>IFERROR(Inv_SY!L151/Inv_SY!$Y151-1,"")</f>
        <v/>
      </c>
      <c r="M149" s="55" t="str">
        <f>IFERROR(Inv_SY!M151/Inv_SY!$Y151-1,"")</f>
        <v/>
      </c>
      <c r="N149" s="55" t="str">
        <f>IFERROR(Inv_SY!N151/Inv_SY!$Y151-1,"")</f>
        <v/>
      </c>
      <c r="O149" s="55" t="str">
        <f>IFERROR(Inv_SY!O151/Inv_SY!$Y151-1,"")</f>
        <v/>
      </c>
      <c r="P149" s="55" t="str">
        <f>IFERROR(Inv_SY!P151/Inv_SY!$Y151-1,"")</f>
        <v/>
      </c>
      <c r="Q149" s="55" t="str">
        <f>IFERROR(Inv_SY!Q151/Inv_SY!$Y151-1,"")</f>
        <v/>
      </c>
      <c r="R149" s="55" t="str">
        <f>IFERROR(Inv_SY!R151/Inv_SY!$Y151-1,"")</f>
        <v/>
      </c>
      <c r="S149" s="55" t="str">
        <f>IFERROR(Inv_SY!S151/Inv_SY!$Y151-1,"")</f>
        <v/>
      </c>
      <c r="T149" s="55" t="str">
        <f>IFERROR(Inv_SY!T151/Inv_SY!$Y151-1,"")</f>
        <v/>
      </c>
      <c r="U149" s="55" t="str">
        <f>IFERROR(Inv_SY!U151/Inv_SY!$Y151-1,"")</f>
        <v/>
      </c>
      <c r="V149" s="55" t="str">
        <f>IFERROR(Inv_SY!J151/Inv_SY!$Z151-1,"")</f>
        <v/>
      </c>
      <c r="W149" s="55" t="str">
        <f>IFERROR(Inv_SY!K151/Inv_SY!$Z151-1,"")</f>
        <v/>
      </c>
      <c r="X149" s="55" t="str">
        <f>IFERROR(Inv_SY!L151/Inv_SY!$Z151-1,"")</f>
        <v/>
      </c>
      <c r="Y149" s="55" t="str">
        <f>IFERROR(Inv_SY!M151/Inv_SY!$Z151-1,"")</f>
        <v/>
      </c>
      <c r="Z149" s="55" t="str">
        <f>IFERROR(Inv_SY!N151/Inv_SY!$Z151-1,"")</f>
        <v/>
      </c>
      <c r="AA149" s="55" t="str">
        <f>IFERROR(Inv_SY!O151/Inv_SY!$Z151-1,"")</f>
        <v/>
      </c>
      <c r="AB149" s="55" t="str">
        <f>IFERROR(Inv_SY!P151/Inv_SY!$Z151-1,"")</f>
        <v/>
      </c>
      <c r="AC149" s="55" t="str">
        <f>IFERROR(Inv_SY!Q151/Inv_SY!$Z151-1,"")</f>
        <v/>
      </c>
      <c r="AD149" s="55" t="str">
        <f>IFERROR(Inv_SY!R151/Inv_SY!$Z151-1,"")</f>
        <v/>
      </c>
      <c r="AE149" s="55" t="str">
        <f>IFERROR(Inv_SY!S151/Inv_SY!$Z151-1,"")</f>
        <v/>
      </c>
      <c r="AF149" s="55" t="str">
        <f>IFERROR(Inv_SY!T151/Inv_SY!$Z151-1,"")</f>
        <v/>
      </c>
      <c r="AG149" s="55" t="str">
        <f>IFERROR(Inv_SY!U151/Inv_SY!$Z151-1,"")</f>
        <v/>
      </c>
      <c r="AH149" s="55" t="str">
        <f>IFERROR(Inv_SY!V151/Inv_SY!$Y151-1,"")</f>
        <v/>
      </c>
      <c r="AI149" s="55" t="str">
        <f>IFERROR(Inv_SY!W151/Inv_SY!$Y151-1,"")</f>
        <v/>
      </c>
      <c r="AJ149" s="55" t="str">
        <f>IFERROR(Inv_SY!X151/Inv_SY!$Y151-1,"")</f>
        <v/>
      </c>
      <c r="AK149" s="55" t="str">
        <f>IFERROR(Inv_SY!V151/Inv_SY!$Z151-1,"")</f>
        <v/>
      </c>
      <c r="AL149" s="55" t="str">
        <f>IFERROR(Inv_SY!W151/Inv_SY!$Z151-1,"")</f>
        <v/>
      </c>
      <c r="AM149" s="55" t="str">
        <f>IFERROR(Inv_SY!X151/Inv_SY!$Z151-1,"")</f>
        <v/>
      </c>
    </row>
    <row r="150" spans="1:39" x14ac:dyDescent="0.3">
      <c r="A150" s="273">
        <f>YEAR(Table5[[#This Row],[Date]])+IF(MONTH(Table5[[#This Row],[Date]])&gt;=4,1,0)</f>
        <v>2026</v>
      </c>
      <c r="B150" s="273"/>
      <c r="C150" s="273">
        <f>YEAR(Table5[[#This Row],[Date]])</f>
        <v>2025</v>
      </c>
      <c r="D150" s="273"/>
      <c r="E150" s="273"/>
      <c r="F150" s="274" t="str">
        <f>TEXT(Table5[[#This Row],[Date]],"mmm-yy")</f>
        <v>Aug-25</v>
      </c>
      <c r="G150" s="273">
        <f t="shared" si="7"/>
        <v>31</v>
      </c>
      <c r="H150" s="275">
        <f t="shared" si="8"/>
        <v>45893</v>
      </c>
      <c r="I150" s="273">
        <v>8.02</v>
      </c>
      <c r="J150" s="55" t="str">
        <f>IFERROR(Inv_SY!J152/Inv_SY!$Y152-1,"")</f>
        <v/>
      </c>
      <c r="K150" s="55" t="str">
        <f>IFERROR(Inv_SY!K152/Inv_SY!$Y152-1,"")</f>
        <v/>
      </c>
      <c r="L150" s="55" t="str">
        <f>IFERROR(Inv_SY!L152/Inv_SY!$Y152-1,"")</f>
        <v/>
      </c>
      <c r="M150" s="55" t="str">
        <f>IFERROR(Inv_SY!M152/Inv_SY!$Y152-1,"")</f>
        <v/>
      </c>
      <c r="N150" s="55" t="str">
        <f>IFERROR(Inv_SY!N152/Inv_SY!$Y152-1,"")</f>
        <v/>
      </c>
      <c r="O150" s="55" t="str">
        <f>IFERROR(Inv_SY!O152/Inv_SY!$Y152-1,"")</f>
        <v/>
      </c>
      <c r="P150" s="55" t="str">
        <f>IFERROR(Inv_SY!P152/Inv_SY!$Y152-1,"")</f>
        <v/>
      </c>
      <c r="Q150" s="55" t="str">
        <f>IFERROR(Inv_SY!Q152/Inv_SY!$Y152-1,"")</f>
        <v/>
      </c>
      <c r="R150" s="55" t="str">
        <f>IFERROR(Inv_SY!R152/Inv_SY!$Y152-1,"")</f>
        <v/>
      </c>
      <c r="S150" s="55" t="str">
        <f>IFERROR(Inv_SY!S152/Inv_SY!$Y152-1,"")</f>
        <v/>
      </c>
      <c r="T150" s="55" t="str">
        <f>IFERROR(Inv_SY!T152/Inv_SY!$Y152-1,"")</f>
        <v/>
      </c>
      <c r="U150" s="55" t="str">
        <f>IFERROR(Inv_SY!U152/Inv_SY!$Y152-1,"")</f>
        <v/>
      </c>
      <c r="V150" s="55" t="str">
        <f>IFERROR(Inv_SY!J152/Inv_SY!$Z152-1,"")</f>
        <v/>
      </c>
      <c r="W150" s="55" t="str">
        <f>IFERROR(Inv_SY!K152/Inv_SY!$Z152-1,"")</f>
        <v/>
      </c>
      <c r="X150" s="55" t="str">
        <f>IFERROR(Inv_SY!L152/Inv_SY!$Z152-1,"")</f>
        <v/>
      </c>
      <c r="Y150" s="55" t="str">
        <f>IFERROR(Inv_SY!M152/Inv_SY!$Z152-1,"")</f>
        <v/>
      </c>
      <c r="Z150" s="55" t="str">
        <f>IFERROR(Inv_SY!N152/Inv_SY!$Z152-1,"")</f>
        <v/>
      </c>
      <c r="AA150" s="55" t="str">
        <f>IFERROR(Inv_SY!O152/Inv_SY!$Z152-1,"")</f>
        <v/>
      </c>
      <c r="AB150" s="55" t="str">
        <f>IFERROR(Inv_SY!P152/Inv_SY!$Z152-1,"")</f>
        <v/>
      </c>
      <c r="AC150" s="55" t="str">
        <f>IFERROR(Inv_SY!Q152/Inv_SY!$Z152-1,"")</f>
        <v/>
      </c>
      <c r="AD150" s="55" t="str">
        <f>IFERROR(Inv_SY!R152/Inv_SY!$Z152-1,"")</f>
        <v/>
      </c>
      <c r="AE150" s="55" t="str">
        <f>IFERROR(Inv_SY!S152/Inv_SY!$Z152-1,"")</f>
        <v/>
      </c>
      <c r="AF150" s="55" t="str">
        <f>IFERROR(Inv_SY!T152/Inv_SY!$Z152-1,"")</f>
        <v/>
      </c>
      <c r="AG150" s="55" t="str">
        <f>IFERROR(Inv_SY!U152/Inv_SY!$Z152-1,"")</f>
        <v/>
      </c>
      <c r="AH150" s="55" t="str">
        <f>IFERROR(Inv_SY!V152/Inv_SY!$Y152-1,"")</f>
        <v/>
      </c>
      <c r="AI150" s="55" t="str">
        <f>IFERROR(Inv_SY!W152/Inv_SY!$Y152-1,"")</f>
        <v/>
      </c>
      <c r="AJ150" s="55" t="str">
        <f>IFERROR(Inv_SY!X152/Inv_SY!$Y152-1,"")</f>
        <v/>
      </c>
      <c r="AK150" s="55" t="str">
        <f>IFERROR(Inv_SY!V152/Inv_SY!$Z152-1,"")</f>
        <v/>
      </c>
      <c r="AL150" s="55" t="str">
        <f>IFERROR(Inv_SY!W152/Inv_SY!$Z152-1,"")</f>
        <v/>
      </c>
      <c r="AM150" s="55" t="str">
        <f>IFERROR(Inv_SY!X152/Inv_SY!$Z152-1,"")</f>
        <v/>
      </c>
    </row>
    <row r="151" spans="1:39" x14ac:dyDescent="0.3">
      <c r="A151" s="273">
        <f>YEAR(Table5[[#This Row],[Date]])+IF(MONTH(Table5[[#This Row],[Date]])&gt;=4,1,0)</f>
        <v>2026</v>
      </c>
      <c r="B151" s="273"/>
      <c r="C151" s="273">
        <f>YEAR(Table5[[#This Row],[Date]])</f>
        <v>2025</v>
      </c>
      <c r="D151" s="273"/>
      <c r="E151" s="273"/>
      <c r="F151" s="274" t="str">
        <f>TEXT(Table5[[#This Row],[Date]],"mmm-yy")</f>
        <v>Aug-25</v>
      </c>
      <c r="G151" s="273">
        <f t="shared" si="7"/>
        <v>31</v>
      </c>
      <c r="H151" s="275">
        <f t="shared" si="8"/>
        <v>45894</v>
      </c>
      <c r="I151" s="273">
        <v>8.02</v>
      </c>
      <c r="J151" s="55" t="str">
        <f>IFERROR(Inv_SY!J153/Inv_SY!$Y153-1,"")</f>
        <v/>
      </c>
      <c r="K151" s="55" t="str">
        <f>IFERROR(Inv_SY!K153/Inv_SY!$Y153-1,"")</f>
        <v/>
      </c>
      <c r="L151" s="55" t="str">
        <f>IFERROR(Inv_SY!L153/Inv_SY!$Y153-1,"")</f>
        <v/>
      </c>
      <c r="M151" s="55" t="str">
        <f>IFERROR(Inv_SY!M153/Inv_SY!$Y153-1,"")</f>
        <v/>
      </c>
      <c r="N151" s="55" t="str">
        <f>IFERROR(Inv_SY!N153/Inv_SY!$Y153-1,"")</f>
        <v/>
      </c>
      <c r="O151" s="55" t="str">
        <f>IFERROR(Inv_SY!O153/Inv_SY!$Y153-1,"")</f>
        <v/>
      </c>
      <c r="P151" s="55" t="str">
        <f>IFERROR(Inv_SY!P153/Inv_SY!$Y153-1,"")</f>
        <v/>
      </c>
      <c r="Q151" s="55" t="str">
        <f>IFERROR(Inv_SY!Q153/Inv_SY!$Y153-1,"")</f>
        <v/>
      </c>
      <c r="R151" s="55" t="str">
        <f>IFERROR(Inv_SY!R153/Inv_SY!$Y153-1,"")</f>
        <v/>
      </c>
      <c r="S151" s="55" t="str">
        <f>IFERROR(Inv_SY!S153/Inv_SY!$Y153-1,"")</f>
        <v/>
      </c>
      <c r="T151" s="55" t="str">
        <f>IFERROR(Inv_SY!T153/Inv_SY!$Y153-1,"")</f>
        <v/>
      </c>
      <c r="U151" s="55" t="str">
        <f>IFERROR(Inv_SY!U153/Inv_SY!$Y153-1,"")</f>
        <v/>
      </c>
      <c r="V151" s="55" t="str">
        <f>IFERROR(Inv_SY!J153/Inv_SY!$Z153-1,"")</f>
        <v/>
      </c>
      <c r="W151" s="55" t="str">
        <f>IFERROR(Inv_SY!K153/Inv_SY!$Z153-1,"")</f>
        <v/>
      </c>
      <c r="X151" s="55" t="str">
        <f>IFERROR(Inv_SY!L153/Inv_SY!$Z153-1,"")</f>
        <v/>
      </c>
      <c r="Y151" s="55" t="str">
        <f>IFERROR(Inv_SY!M153/Inv_SY!$Z153-1,"")</f>
        <v/>
      </c>
      <c r="Z151" s="55" t="str">
        <f>IFERROR(Inv_SY!N153/Inv_SY!$Z153-1,"")</f>
        <v/>
      </c>
      <c r="AA151" s="55" t="str">
        <f>IFERROR(Inv_SY!O153/Inv_SY!$Z153-1,"")</f>
        <v/>
      </c>
      <c r="AB151" s="55" t="str">
        <f>IFERROR(Inv_SY!P153/Inv_SY!$Z153-1,"")</f>
        <v/>
      </c>
      <c r="AC151" s="55" t="str">
        <f>IFERROR(Inv_SY!Q153/Inv_SY!$Z153-1,"")</f>
        <v/>
      </c>
      <c r="AD151" s="55" t="str">
        <f>IFERROR(Inv_SY!R153/Inv_SY!$Z153-1,"")</f>
        <v/>
      </c>
      <c r="AE151" s="55" t="str">
        <f>IFERROR(Inv_SY!S153/Inv_SY!$Z153-1,"")</f>
        <v/>
      </c>
      <c r="AF151" s="55" t="str">
        <f>IFERROR(Inv_SY!T153/Inv_SY!$Z153-1,"")</f>
        <v/>
      </c>
      <c r="AG151" s="55" t="str">
        <f>IFERROR(Inv_SY!U153/Inv_SY!$Z153-1,"")</f>
        <v/>
      </c>
      <c r="AH151" s="55" t="str">
        <f>IFERROR(Inv_SY!V153/Inv_SY!$Y153-1,"")</f>
        <v/>
      </c>
      <c r="AI151" s="55" t="str">
        <f>IFERROR(Inv_SY!W153/Inv_SY!$Y153-1,"")</f>
        <v/>
      </c>
      <c r="AJ151" s="55" t="str">
        <f>IFERROR(Inv_SY!X153/Inv_SY!$Y153-1,"")</f>
        <v/>
      </c>
      <c r="AK151" s="55" t="str">
        <f>IFERROR(Inv_SY!V153/Inv_SY!$Z153-1,"")</f>
        <v/>
      </c>
      <c r="AL151" s="55" t="str">
        <f>IFERROR(Inv_SY!W153/Inv_SY!$Z153-1,"")</f>
        <v/>
      </c>
      <c r="AM151" s="55" t="str">
        <f>IFERROR(Inv_SY!X153/Inv_SY!$Z153-1,"")</f>
        <v/>
      </c>
    </row>
    <row r="152" spans="1:39" x14ac:dyDescent="0.3">
      <c r="A152" s="273">
        <f>YEAR(Table5[[#This Row],[Date]])+IF(MONTH(Table5[[#This Row],[Date]])&gt;=4,1,0)</f>
        <v>2026</v>
      </c>
      <c r="B152" s="273"/>
      <c r="C152" s="273">
        <f>YEAR(Table5[[#This Row],[Date]])</f>
        <v>2025</v>
      </c>
      <c r="D152" s="273"/>
      <c r="E152" s="273"/>
      <c r="F152" s="274" t="str">
        <f>TEXT(Table5[[#This Row],[Date]],"mmm-yy")</f>
        <v>Aug-25</v>
      </c>
      <c r="G152" s="273">
        <f t="shared" si="7"/>
        <v>31</v>
      </c>
      <c r="H152" s="275">
        <f t="shared" si="8"/>
        <v>45895</v>
      </c>
      <c r="I152" s="273">
        <v>8.02</v>
      </c>
      <c r="J152" s="55" t="str">
        <f>IFERROR(Inv_SY!J154/Inv_SY!$Y154-1,"")</f>
        <v/>
      </c>
      <c r="K152" s="55" t="str">
        <f>IFERROR(Inv_SY!K154/Inv_SY!$Y154-1,"")</f>
        <v/>
      </c>
      <c r="L152" s="55" t="str">
        <f>IFERROR(Inv_SY!L154/Inv_SY!$Y154-1,"")</f>
        <v/>
      </c>
      <c r="M152" s="55" t="str">
        <f>IFERROR(Inv_SY!M154/Inv_SY!$Y154-1,"")</f>
        <v/>
      </c>
      <c r="N152" s="55" t="str">
        <f>IFERROR(Inv_SY!N154/Inv_SY!$Y154-1,"")</f>
        <v/>
      </c>
      <c r="O152" s="55" t="str">
        <f>IFERROR(Inv_SY!O154/Inv_SY!$Y154-1,"")</f>
        <v/>
      </c>
      <c r="P152" s="55" t="str">
        <f>IFERROR(Inv_SY!P154/Inv_SY!$Y154-1,"")</f>
        <v/>
      </c>
      <c r="Q152" s="55" t="str">
        <f>IFERROR(Inv_SY!Q154/Inv_SY!$Y154-1,"")</f>
        <v/>
      </c>
      <c r="R152" s="55" t="str">
        <f>IFERROR(Inv_SY!R154/Inv_SY!$Y154-1,"")</f>
        <v/>
      </c>
      <c r="S152" s="55" t="str">
        <f>IFERROR(Inv_SY!S154/Inv_SY!$Y154-1,"")</f>
        <v/>
      </c>
      <c r="T152" s="55" t="str">
        <f>IFERROR(Inv_SY!T154/Inv_SY!$Y154-1,"")</f>
        <v/>
      </c>
      <c r="U152" s="55" t="str">
        <f>IFERROR(Inv_SY!U154/Inv_SY!$Y154-1,"")</f>
        <v/>
      </c>
      <c r="V152" s="55" t="str">
        <f>IFERROR(Inv_SY!J154/Inv_SY!$Z154-1,"")</f>
        <v/>
      </c>
      <c r="W152" s="55" t="str">
        <f>IFERROR(Inv_SY!K154/Inv_SY!$Z154-1,"")</f>
        <v/>
      </c>
      <c r="X152" s="55" t="str">
        <f>IFERROR(Inv_SY!L154/Inv_SY!$Z154-1,"")</f>
        <v/>
      </c>
      <c r="Y152" s="55" t="str">
        <f>IFERROR(Inv_SY!M154/Inv_SY!$Z154-1,"")</f>
        <v/>
      </c>
      <c r="Z152" s="55" t="str">
        <f>IFERROR(Inv_SY!N154/Inv_SY!$Z154-1,"")</f>
        <v/>
      </c>
      <c r="AA152" s="55" t="str">
        <f>IFERROR(Inv_SY!O154/Inv_SY!$Z154-1,"")</f>
        <v/>
      </c>
      <c r="AB152" s="55" t="str">
        <f>IFERROR(Inv_SY!P154/Inv_SY!$Z154-1,"")</f>
        <v/>
      </c>
      <c r="AC152" s="55" t="str">
        <f>IFERROR(Inv_SY!Q154/Inv_SY!$Z154-1,"")</f>
        <v/>
      </c>
      <c r="AD152" s="55" t="str">
        <f>IFERROR(Inv_SY!R154/Inv_SY!$Z154-1,"")</f>
        <v/>
      </c>
      <c r="AE152" s="55" t="str">
        <f>IFERROR(Inv_SY!S154/Inv_SY!$Z154-1,"")</f>
        <v/>
      </c>
      <c r="AF152" s="55" t="str">
        <f>IFERROR(Inv_SY!T154/Inv_SY!$Z154-1,"")</f>
        <v/>
      </c>
      <c r="AG152" s="55" t="str">
        <f>IFERROR(Inv_SY!U154/Inv_SY!$Z154-1,"")</f>
        <v/>
      </c>
      <c r="AH152" s="55" t="str">
        <f>IFERROR(Inv_SY!V154/Inv_SY!$Y154-1,"")</f>
        <v/>
      </c>
      <c r="AI152" s="55" t="str">
        <f>IFERROR(Inv_SY!W154/Inv_SY!$Y154-1,"")</f>
        <v/>
      </c>
      <c r="AJ152" s="55" t="str">
        <f>IFERROR(Inv_SY!X154/Inv_SY!$Y154-1,"")</f>
        <v/>
      </c>
      <c r="AK152" s="55" t="str">
        <f>IFERROR(Inv_SY!V154/Inv_SY!$Z154-1,"")</f>
        <v/>
      </c>
      <c r="AL152" s="55" t="str">
        <f>IFERROR(Inv_SY!W154/Inv_SY!$Z154-1,"")</f>
        <v/>
      </c>
      <c r="AM152" s="55" t="str">
        <f>IFERROR(Inv_SY!X154/Inv_SY!$Z154-1,"")</f>
        <v/>
      </c>
    </row>
    <row r="153" spans="1:39" x14ac:dyDescent="0.3">
      <c r="A153" s="273">
        <f>YEAR(Table5[[#This Row],[Date]])+IF(MONTH(Table5[[#This Row],[Date]])&gt;=4,1,0)</f>
        <v>2026</v>
      </c>
      <c r="B153" s="273"/>
      <c r="C153" s="273">
        <f>YEAR(Table5[[#This Row],[Date]])</f>
        <v>2025</v>
      </c>
      <c r="D153" s="273"/>
      <c r="E153" s="273"/>
      <c r="F153" s="274" t="str">
        <f>TEXT(Table5[[#This Row],[Date]],"mmm-yy")</f>
        <v>Aug-25</v>
      </c>
      <c r="G153" s="273">
        <f t="shared" si="7"/>
        <v>31</v>
      </c>
      <c r="H153" s="275">
        <f t="shared" si="8"/>
        <v>45896</v>
      </c>
      <c r="I153" s="273">
        <v>8.02</v>
      </c>
      <c r="J153" s="55" t="str">
        <f>IFERROR(Inv_SY!J155/Inv_SY!$Y155-1,"")</f>
        <v/>
      </c>
      <c r="K153" s="55" t="str">
        <f>IFERROR(Inv_SY!K155/Inv_SY!$Y155-1,"")</f>
        <v/>
      </c>
      <c r="L153" s="55" t="str">
        <f>IFERROR(Inv_SY!L155/Inv_SY!$Y155-1,"")</f>
        <v/>
      </c>
      <c r="M153" s="55" t="str">
        <f>IFERROR(Inv_SY!M155/Inv_SY!$Y155-1,"")</f>
        <v/>
      </c>
      <c r="N153" s="55" t="str">
        <f>IFERROR(Inv_SY!N155/Inv_SY!$Y155-1,"")</f>
        <v/>
      </c>
      <c r="O153" s="55" t="str">
        <f>IFERROR(Inv_SY!O155/Inv_SY!$Y155-1,"")</f>
        <v/>
      </c>
      <c r="P153" s="55" t="str">
        <f>IFERROR(Inv_SY!P155/Inv_SY!$Y155-1,"")</f>
        <v/>
      </c>
      <c r="Q153" s="55" t="str">
        <f>IFERROR(Inv_SY!Q155/Inv_SY!$Y155-1,"")</f>
        <v/>
      </c>
      <c r="R153" s="55" t="str">
        <f>IFERROR(Inv_SY!R155/Inv_SY!$Y155-1,"")</f>
        <v/>
      </c>
      <c r="S153" s="55" t="str">
        <f>IFERROR(Inv_SY!S155/Inv_SY!$Y155-1,"")</f>
        <v/>
      </c>
      <c r="T153" s="55" t="str">
        <f>IFERROR(Inv_SY!T155/Inv_SY!$Y155-1,"")</f>
        <v/>
      </c>
      <c r="U153" s="55" t="str">
        <f>IFERROR(Inv_SY!U155/Inv_SY!$Y155-1,"")</f>
        <v/>
      </c>
      <c r="V153" s="55" t="str">
        <f>IFERROR(Inv_SY!J155/Inv_SY!$Z155-1,"")</f>
        <v/>
      </c>
      <c r="W153" s="55" t="str">
        <f>IFERROR(Inv_SY!K155/Inv_SY!$Z155-1,"")</f>
        <v/>
      </c>
      <c r="X153" s="55" t="str">
        <f>IFERROR(Inv_SY!L155/Inv_SY!$Z155-1,"")</f>
        <v/>
      </c>
      <c r="Y153" s="55" t="str">
        <f>IFERROR(Inv_SY!M155/Inv_SY!$Z155-1,"")</f>
        <v/>
      </c>
      <c r="Z153" s="55" t="str">
        <f>IFERROR(Inv_SY!N155/Inv_SY!$Z155-1,"")</f>
        <v/>
      </c>
      <c r="AA153" s="55" t="str">
        <f>IFERROR(Inv_SY!O155/Inv_SY!$Z155-1,"")</f>
        <v/>
      </c>
      <c r="AB153" s="55" t="str">
        <f>IFERROR(Inv_SY!P155/Inv_SY!$Z155-1,"")</f>
        <v/>
      </c>
      <c r="AC153" s="55" t="str">
        <f>IFERROR(Inv_SY!Q155/Inv_SY!$Z155-1,"")</f>
        <v/>
      </c>
      <c r="AD153" s="55" t="str">
        <f>IFERROR(Inv_SY!R155/Inv_SY!$Z155-1,"")</f>
        <v/>
      </c>
      <c r="AE153" s="55" t="str">
        <f>IFERROR(Inv_SY!S155/Inv_SY!$Z155-1,"")</f>
        <v/>
      </c>
      <c r="AF153" s="55" t="str">
        <f>IFERROR(Inv_SY!T155/Inv_SY!$Z155-1,"")</f>
        <v/>
      </c>
      <c r="AG153" s="55" t="str">
        <f>IFERROR(Inv_SY!U155/Inv_SY!$Z155-1,"")</f>
        <v/>
      </c>
      <c r="AH153" s="55" t="str">
        <f>IFERROR(Inv_SY!V155/Inv_SY!$Y155-1,"")</f>
        <v/>
      </c>
      <c r="AI153" s="55" t="str">
        <f>IFERROR(Inv_SY!W155/Inv_SY!$Y155-1,"")</f>
        <v/>
      </c>
      <c r="AJ153" s="55" t="str">
        <f>IFERROR(Inv_SY!X155/Inv_SY!$Y155-1,"")</f>
        <v/>
      </c>
      <c r="AK153" s="55" t="str">
        <f>IFERROR(Inv_SY!V155/Inv_SY!$Z155-1,"")</f>
        <v/>
      </c>
      <c r="AL153" s="55" t="str">
        <f>IFERROR(Inv_SY!W155/Inv_SY!$Z155-1,"")</f>
        <v/>
      </c>
      <c r="AM153" s="55" t="str">
        <f>IFERROR(Inv_SY!X155/Inv_SY!$Z155-1,"")</f>
        <v/>
      </c>
    </row>
    <row r="154" spans="1:39" x14ac:dyDescent="0.3">
      <c r="A154" s="273">
        <f>YEAR(Table5[[#This Row],[Date]])+IF(MONTH(Table5[[#This Row],[Date]])&gt;=4,1,0)</f>
        <v>2026</v>
      </c>
      <c r="B154" s="273"/>
      <c r="C154" s="273">
        <f>YEAR(Table5[[#This Row],[Date]])</f>
        <v>2025</v>
      </c>
      <c r="D154" s="273"/>
      <c r="E154" s="273"/>
      <c r="F154" s="274" t="str">
        <f>TEXT(Table5[[#This Row],[Date]],"mmm-yy")</f>
        <v>Aug-25</v>
      </c>
      <c r="G154" s="273">
        <f t="shared" si="7"/>
        <v>31</v>
      </c>
      <c r="H154" s="275">
        <f t="shared" si="8"/>
        <v>45897</v>
      </c>
      <c r="I154" s="273">
        <v>8.02</v>
      </c>
      <c r="J154" s="55" t="str">
        <f>IFERROR(Inv_SY!J156/Inv_SY!$Y156-1,"")</f>
        <v/>
      </c>
      <c r="K154" s="55" t="str">
        <f>IFERROR(Inv_SY!K156/Inv_SY!$Y156-1,"")</f>
        <v/>
      </c>
      <c r="L154" s="55" t="str">
        <f>IFERROR(Inv_SY!L156/Inv_SY!$Y156-1,"")</f>
        <v/>
      </c>
      <c r="M154" s="55" t="str">
        <f>IFERROR(Inv_SY!M156/Inv_SY!$Y156-1,"")</f>
        <v/>
      </c>
      <c r="N154" s="55" t="str">
        <f>IFERROR(Inv_SY!N156/Inv_SY!$Y156-1,"")</f>
        <v/>
      </c>
      <c r="O154" s="55" t="str">
        <f>IFERROR(Inv_SY!O156/Inv_SY!$Y156-1,"")</f>
        <v/>
      </c>
      <c r="P154" s="55" t="str">
        <f>IFERROR(Inv_SY!P156/Inv_SY!$Y156-1,"")</f>
        <v/>
      </c>
      <c r="Q154" s="55" t="str">
        <f>IFERROR(Inv_SY!Q156/Inv_SY!$Y156-1,"")</f>
        <v/>
      </c>
      <c r="R154" s="55" t="str">
        <f>IFERROR(Inv_SY!R156/Inv_SY!$Y156-1,"")</f>
        <v/>
      </c>
      <c r="S154" s="55" t="str">
        <f>IFERROR(Inv_SY!S156/Inv_SY!$Y156-1,"")</f>
        <v/>
      </c>
      <c r="T154" s="55" t="str">
        <f>IFERROR(Inv_SY!T156/Inv_SY!$Y156-1,"")</f>
        <v/>
      </c>
      <c r="U154" s="55" t="str">
        <f>IFERROR(Inv_SY!U156/Inv_SY!$Y156-1,"")</f>
        <v/>
      </c>
      <c r="V154" s="55" t="str">
        <f>IFERROR(Inv_SY!J156/Inv_SY!$Z156-1,"")</f>
        <v/>
      </c>
      <c r="W154" s="55" t="str">
        <f>IFERROR(Inv_SY!K156/Inv_SY!$Z156-1,"")</f>
        <v/>
      </c>
      <c r="X154" s="55" t="str">
        <f>IFERROR(Inv_SY!L156/Inv_SY!$Z156-1,"")</f>
        <v/>
      </c>
      <c r="Y154" s="55" t="str">
        <f>IFERROR(Inv_SY!M156/Inv_SY!$Z156-1,"")</f>
        <v/>
      </c>
      <c r="Z154" s="55" t="str">
        <f>IFERROR(Inv_SY!N156/Inv_SY!$Z156-1,"")</f>
        <v/>
      </c>
      <c r="AA154" s="55" t="str">
        <f>IFERROR(Inv_SY!O156/Inv_SY!$Z156-1,"")</f>
        <v/>
      </c>
      <c r="AB154" s="55" t="str">
        <f>IFERROR(Inv_SY!P156/Inv_SY!$Z156-1,"")</f>
        <v/>
      </c>
      <c r="AC154" s="55" t="str">
        <f>IFERROR(Inv_SY!Q156/Inv_SY!$Z156-1,"")</f>
        <v/>
      </c>
      <c r="AD154" s="55" t="str">
        <f>IFERROR(Inv_SY!R156/Inv_SY!$Z156-1,"")</f>
        <v/>
      </c>
      <c r="AE154" s="55" t="str">
        <f>IFERROR(Inv_SY!S156/Inv_SY!$Z156-1,"")</f>
        <v/>
      </c>
      <c r="AF154" s="55" t="str">
        <f>IFERROR(Inv_SY!T156/Inv_SY!$Z156-1,"")</f>
        <v/>
      </c>
      <c r="AG154" s="55" t="str">
        <f>IFERROR(Inv_SY!U156/Inv_SY!$Z156-1,"")</f>
        <v/>
      </c>
      <c r="AH154" s="55" t="str">
        <f>IFERROR(Inv_SY!V156/Inv_SY!$Y156-1,"")</f>
        <v/>
      </c>
      <c r="AI154" s="55" t="str">
        <f>IFERROR(Inv_SY!W156/Inv_SY!$Y156-1,"")</f>
        <v/>
      </c>
      <c r="AJ154" s="55" t="str">
        <f>IFERROR(Inv_SY!X156/Inv_SY!$Y156-1,"")</f>
        <v/>
      </c>
      <c r="AK154" s="55" t="str">
        <f>IFERROR(Inv_SY!V156/Inv_SY!$Z156-1,"")</f>
        <v/>
      </c>
      <c r="AL154" s="55" t="str">
        <f>IFERROR(Inv_SY!W156/Inv_SY!$Z156-1,"")</f>
        <v/>
      </c>
      <c r="AM154" s="55" t="str">
        <f>IFERROR(Inv_SY!X156/Inv_SY!$Z156-1,"")</f>
        <v/>
      </c>
    </row>
    <row r="155" spans="1:39" x14ac:dyDescent="0.3">
      <c r="A155" s="273">
        <f>YEAR(Table5[[#This Row],[Date]])+IF(MONTH(Table5[[#This Row],[Date]])&gt;=4,1,0)</f>
        <v>2026</v>
      </c>
      <c r="B155" s="273"/>
      <c r="C155" s="273">
        <f>YEAR(Table5[[#This Row],[Date]])</f>
        <v>2025</v>
      </c>
      <c r="D155" s="273"/>
      <c r="E155" s="273"/>
      <c r="F155" s="274" t="str">
        <f>TEXT(Table5[[#This Row],[Date]],"mmm-yy")</f>
        <v>Aug-25</v>
      </c>
      <c r="G155" s="273">
        <f t="shared" si="7"/>
        <v>31</v>
      </c>
      <c r="H155" s="275">
        <f t="shared" si="8"/>
        <v>45898</v>
      </c>
      <c r="I155" s="273">
        <v>8.02</v>
      </c>
      <c r="J155" s="55" t="str">
        <f>IFERROR(Inv_SY!J157/Inv_SY!$Y157-1,"")</f>
        <v/>
      </c>
      <c r="K155" s="55" t="str">
        <f>IFERROR(Inv_SY!K157/Inv_SY!$Y157-1,"")</f>
        <v/>
      </c>
      <c r="L155" s="55" t="str">
        <f>IFERROR(Inv_SY!L157/Inv_SY!$Y157-1,"")</f>
        <v/>
      </c>
      <c r="M155" s="55" t="str">
        <f>IFERROR(Inv_SY!M157/Inv_SY!$Y157-1,"")</f>
        <v/>
      </c>
      <c r="N155" s="55" t="str">
        <f>IFERROR(Inv_SY!N157/Inv_SY!$Y157-1,"")</f>
        <v/>
      </c>
      <c r="O155" s="55" t="str">
        <f>IFERROR(Inv_SY!O157/Inv_SY!$Y157-1,"")</f>
        <v/>
      </c>
      <c r="P155" s="55" t="str">
        <f>IFERROR(Inv_SY!P157/Inv_SY!$Y157-1,"")</f>
        <v/>
      </c>
      <c r="Q155" s="55" t="str">
        <f>IFERROR(Inv_SY!Q157/Inv_SY!$Y157-1,"")</f>
        <v/>
      </c>
      <c r="R155" s="55" t="str">
        <f>IFERROR(Inv_SY!R157/Inv_SY!$Y157-1,"")</f>
        <v/>
      </c>
      <c r="S155" s="55" t="str">
        <f>IFERROR(Inv_SY!S157/Inv_SY!$Y157-1,"")</f>
        <v/>
      </c>
      <c r="T155" s="55" t="str">
        <f>IFERROR(Inv_SY!T157/Inv_SY!$Y157-1,"")</f>
        <v/>
      </c>
      <c r="U155" s="55" t="str">
        <f>IFERROR(Inv_SY!U157/Inv_SY!$Y157-1,"")</f>
        <v/>
      </c>
      <c r="V155" s="55" t="str">
        <f>IFERROR(Inv_SY!J157/Inv_SY!$Z157-1,"")</f>
        <v/>
      </c>
      <c r="W155" s="55" t="str">
        <f>IFERROR(Inv_SY!K157/Inv_SY!$Z157-1,"")</f>
        <v/>
      </c>
      <c r="X155" s="55" t="str">
        <f>IFERROR(Inv_SY!L157/Inv_SY!$Z157-1,"")</f>
        <v/>
      </c>
      <c r="Y155" s="55" t="str">
        <f>IFERROR(Inv_SY!M157/Inv_SY!$Z157-1,"")</f>
        <v/>
      </c>
      <c r="Z155" s="55" t="str">
        <f>IFERROR(Inv_SY!N157/Inv_SY!$Z157-1,"")</f>
        <v/>
      </c>
      <c r="AA155" s="55" t="str">
        <f>IFERROR(Inv_SY!O157/Inv_SY!$Z157-1,"")</f>
        <v/>
      </c>
      <c r="AB155" s="55" t="str">
        <f>IFERROR(Inv_SY!P157/Inv_SY!$Z157-1,"")</f>
        <v/>
      </c>
      <c r="AC155" s="55" t="str">
        <f>IFERROR(Inv_SY!Q157/Inv_SY!$Z157-1,"")</f>
        <v/>
      </c>
      <c r="AD155" s="55" t="str">
        <f>IFERROR(Inv_SY!R157/Inv_SY!$Z157-1,"")</f>
        <v/>
      </c>
      <c r="AE155" s="55" t="str">
        <f>IFERROR(Inv_SY!S157/Inv_SY!$Z157-1,"")</f>
        <v/>
      </c>
      <c r="AF155" s="55" t="str">
        <f>IFERROR(Inv_SY!T157/Inv_SY!$Z157-1,"")</f>
        <v/>
      </c>
      <c r="AG155" s="55" t="str">
        <f>IFERROR(Inv_SY!U157/Inv_SY!$Z157-1,"")</f>
        <v/>
      </c>
      <c r="AH155" s="55" t="str">
        <f>IFERROR(Inv_SY!V157/Inv_SY!$Y157-1,"")</f>
        <v/>
      </c>
      <c r="AI155" s="55" t="str">
        <f>IFERROR(Inv_SY!W157/Inv_SY!$Y157-1,"")</f>
        <v/>
      </c>
      <c r="AJ155" s="55" t="str">
        <f>IFERROR(Inv_SY!X157/Inv_SY!$Y157-1,"")</f>
        <v/>
      </c>
      <c r="AK155" s="55" t="str">
        <f>IFERROR(Inv_SY!V157/Inv_SY!$Z157-1,"")</f>
        <v/>
      </c>
      <c r="AL155" s="55" t="str">
        <f>IFERROR(Inv_SY!W157/Inv_SY!$Z157-1,"")</f>
        <v/>
      </c>
      <c r="AM155" s="55" t="str">
        <f>IFERROR(Inv_SY!X157/Inv_SY!$Z157-1,"")</f>
        <v/>
      </c>
    </row>
    <row r="156" spans="1:39" x14ac:dyDescent="0.3">
      <c r="A156" s="273">
        <f>YEAR(Table5[[#This Row],[Date]])+IF(MONTH(Table5[[#This Row],[Date]])&gt;=4,1,0)</f>
        <v>2026</v>
      </c>
      <c r="B156" s="273"/>
      <c r="C156" s="273">
        <f>YEAR(Table5[[#This Row],[Date]])</f>
        <v>2025</v>
      </c>
      <c r="D156" s="273"/>
      <c r="E156" s="273"/>
      <c r="F156" s="274" t="str">
        <f>TEXT(Table5[[#This Row],[Date]],"mmm-yy")</f>
        <v>Aug-25</v>
      </c>
      <c r="G156" s="273">
        <f t="shared" si="7"/>
        <v>31</v>
      </c>
      <c r="H156" s="275">
        <f t="shared" si="8"/>
        <v>45899</v>
      </c>
      <c r="I156" s="273">
        <v>8.02</v>
      </c>
      <c r="J156" s="55" t="str">
        <f>IFERROR(Inv_SY!J158/Inv_SY!$Y158-1,"")</f>
        <v/>
      </c>
      <c r="K156" s="55" t="str">
        <f>IFERROR(Inv_SY!K158/Inv_SY!$Y158-1,"")</f>
        <v/>
      </c>
      <c r="L156" s="55" t="str">
        <f>IFERROR(Inv_SY!L158/Inv_SY!$Y158-1,"")</f>
        <v/>
      </c>
      <c r="M156" s="55" t="str">
        <f>IFERROR(Inv_SY!M158/Inv_SY!$Y158-1,"")</f>
        <v/>
      </c>
      <c r="N156" s="55" t="str">
        <f>IFERROR(Inv_SY!N158/Inv_SY!$Y158-1,"")</f>
        <v/>
      </c>
      <c r="O156" s="55" t="str">
        <f>IFERROR(Inv_SY!O158/Inv_SY!$Y158-1,"")</f>
        <v/>
      </c>
      <c r="P156" s="55" t="str">
        <f>IFERROR(Inv_SY!P158/Inv_SY!$Y158-1,"")</f>
        <v/>
      </c>
      <c r="Q156" s="55" t="str">
        <f>IFERROR(Inv_SY!Q158/Inv_SY!$Y158-1,"")</f>
        <v/>
      </c>
      <c r="R156" s="55" t="str">
        <f>IFERROR(Inv_SY!R158/Inv_SY!$Y158-1,"")</f>
        <v/>
      </c>
      <c r="S156" s="55" t="str">
        <f>IFERROR(Inv_SY!S158/Inv_SY!$Y158-1,"")</f>
        <v/>
      </c>
      <c r="T156" s="55" t="str">
        <f>IFERROR(Inv_SY!T158/Inv_SY!$Y158-1,"")</f>
        <v/>
      </c>
      <c r="U156" s="55" t="str">
        <f>IFERROR(Inv_SY!U158/Inv_SY!$Y158-1,"")</f>
        <v/>
      </c>
      <c r="V156" s="55" t="str">
        <f>IFERROR(Inv_SY!J158/Inv_SY!$Z158-1,"")</f>
        <v/>
      </c>
      <c r="W156" s="55" t="str">
        <f>IFERROR(Inv_SY!K158/Inv_SY!$Z158-1,"")</f>
        <v/>
      </c>
      <c r="X156" s="55" t="str">
        <f>IFERROR(Inv_SY!L158/Inv_SY!$Z158-1,"")</f>
        <v/>
      </c>
      <c r="Y156" s="55" t="str">
        <f>IFERROR(Inv_SY!M158/Inv_SY!$Z158-1,"")</f>
        <v/>
      </c>
      <c r="Z156" s="55" t="str">
        <f>IFERROR(Inv_SY!N158/Inv_SY!$Z158-1,"")</f>
        <v/>
      </c>
      <c r="AA156" s="55" t="str">
        <f>IFERROR(Inv_SY!O158/Inv_SY!$Z158-1,"")</f>
        <v/>
      </c>
      <c r="AB156" s="55" t="str">
        <f>IFERROR(Inv_SY!P158/Inv_SY!$Z158-1,"")</f>
        <v/>
      </c>
      <c r="AC156" s="55" t="str">
        <f>IFERROR(Inv_SY!Q158/Inv_SY!$Z158-1,"")</f>
        <v/>
      </c>
      <c r="AD156" s="55" t="str">
        <f>IFERROR(Inv_SY!R158/Inv_SY!$Z158-1,"")</f>
        <v/>
      </c>
      <c r="AE156" s="55" t="str">
        <f>IFERROR(Inv_SY!S158/Inv_SY!$Z158-1,"")</f>
        <v/>
      </c>
      <c r="AF156" s="55" t="str">
        <f>IFERROR(Inv_SY!T158/Inv_SY!$Z158-1,"")</f>
        <v/>
      </c>
      <c r="AG156" s="55" t="str">
        <f>IFERROR(Inv_SY!U158/Inv_SY!$Z158-1,"")</f>
        <v/>
      </c>
      <c r="AH156" s="55" t="str">
        <f>IFERROR(Inv_SY!V158/Inv_SY!$Y158-1,"")</f>
        <v/>
      </c>
      <c r="AI156" s="55" t="str">
        <f>IFERROR(Inv_SY!W158/Inv_SY!$Y158-1,"")</f>
        <v/>
      </c>
      <c r="AJ156" s="55" t="str">
        <f>IFERROR(Inv_SY!X158/Inv_SY!$Y158-1,"")</f>
        <v/>
      </c>
      <c r="AK156" s="55" t="str">
        <f>IFERROR(Inv_SY!V158/Inv_SY!$Z158-1,"")</f>
        <v/>
      </c>
      <c r="AL156" s="55" t="str">
        <f>IFERROR(Inv_SY!W158/Inv_SY!$Z158-1,"")</f>
        <v/>
      </c>
      <c r="AM156" s="55" t="str">
        <f>IFERROR(Inv_SY!X158/Inv_SY!$Z158-1,"")</f>
        <v/>
      </c>
    </row>
    <row r="157" spans="1:39" x14ac:dyDescent="0.3">
      <c r="A157" s="273">
        <f>YEAR(Table5[[#This Row],[Date]])+IF(MONTH(Table5[[#This Row],[Date]])&gt;=4,1,0)</f>
        <v>2026</v>
      </c>
      <c r="B157" s="273"/>
      <c r="C157" s="273">
        <f>YEAR(Table5[[#This Row],[Date]])</f>
        <v>2025</v>
      </c>
      <c r="D157" s="273"/>
      <c r="E157" s="273"/>
      <c r="F157" s="274" t="str">
        <f>TEXT(Table5[[#This Row],[Date]],"mmm-yy")</f>
        <v>Aug-25</v>
      </c>
      <c r="G157" s="273">
        <f t="shared" si="7"/>
        <v>31</v>
      </c>
      <c r="H157" s="275">
        <f t="shared" si="8"/>
        <v>45900</v>
      </c>
      <c r="I157" s="273">
        <v>8.02</v>
      </c>
      <c r="J157" s="55" t="str">
        <f>IFERROR(Inv_SY!J159/Inv_SY!$Y159-1,"")</f>
        <v/>
      </c>
      <c r="K157" s="55" t="str">
        <f>IFERROR(Inv_SY!K159/Inv_SY!$Y159-1,"")</f>
        <v/>
      </c>
      <c r="L157" s="55" t="str">
        <f>IFERROR(Inv_SY!L159/Inv_SY!$Y159-1,"")</f>
        <v/>
      </c>
      <c r="M157" s="55" t="str">
        <f>IFERROR(Inv_SY!M159/Inv_SY!$Y159-1,"")</f>
        <v/>
      </c>
      <c r="N157" s="55" t="str">
        <f>IFERROR(Inv_SY!N159/Inv_SY!$Y159-1,"")</f>
        <v/>
      </c>
      <c r="O157" s="55" t="str">
        <f>IFERROR(Inv_SY!O159/Inv_SY!$Y159-1,"")</f>
        <v/>
      </c>
      <c r="P157" s="55" t="str">
        <f>IFERROR(Inv_SY!P159/Inv_SY!$Y159-1,"")</f>
        <v/>
      </c>
      <c r="Q157" s="55" t="str">
        <f>IFERROR(Inv_SY!Q159/Inv_SY!$Y159-1,"")</f>
        <v/>
      </c>
      <c r="R157" s="55" t="str">
        <f>IFERROR(Inv_SY!R159/Inv_SY!$Y159-1,"")</f>
        <v/>
      </c>
      <c r="S157" s="55" t="str">
        <f>IFERROR(Inv_SY!S159/Inv_SY!$Y159-1,"")</f>
        <v/>
      </c>
      <c r="T157" s="55" t="str">
        <f>IFERROR(Inv_SY!T159/Inv_SY!$Y159-1,"")</f>
        <v/>
      </c>
      <c r="U157" s="55" t="str">
        <f>IFERROR(Inv_SY!U159/Inv_SY!$Y159-1,"")</f>
        <v/>
      </c>
      <c r="V157" s="55" t="str">
        <f>IFERROR(Inv_SY!J159/Inv_SY!$Z159-1,"")</f>
        <v/>
      </c>
      <c r="W157" s="55" t="str">
        <f>IFERROR(Inv_SY!K159/Inv_SY!$Z159-1,"")</f>
        <v/>
      </c>
      <c r="X157" s="55" t="str">
        <f>IFERROR(Inv_SY!L159/Inv_SY!$Z159-1,"")</f>
        <v/>
      </c>
      <c r="Y157" s="55" t="str">
        <f>IFERROR(Inv_SY!M159/Inv_SY!$Z159-1,"")</f>
        <v/>
      </c>
      <c r="Z157" s="55" t="str">
        <f>IFERROR(Inv_SY!N159/Inv_SY!$Z159-1,"")</f>
        <v/>
      </c>
      <c r="AA157" s="55" t="str">
        <f>IFERROR(Inv_SY!O159/Inv_SY!$Z159-1,"")</f>
        <v/>
      </c>
      <c r="AB157" s="55" t="str">
        <f>IFERROR(Inv_SY!P159/Inv_SY!$Z159-1,"")</f>
        <v/>
      </c>
      <c r="AC157" s="55" t="str">
        <f>IFERROR(Inv_SY!Q159/Inv_SY!$Z159-1,"")</f>
        <v/>
      </c>
      <c r="AD157" s="55" t="str">
        <f>IFERROR(Inv_SY!R159/Inv_SY!$Z159-1,"")</f>
        <v/>
      </c>
      <c r="AE157" s="55" t="str">
        <f>IFERROR(Inv_SY!S159/Inv_SY!$Z159-1,"")</f>
        <v/>
      </c>
      <c r="AF157" s="55" t="str">
        <f>IFERROR(Inv_SY!T159/Inv_SY!$Z159-1,"")</f>
        <v/>
      </c>
      <c r="AG157" s="55" t="str">
        <f>IFERROR(Inv_SY!U159/Inv_SY!$Z159-1,"")</f>
        <v/>
      </c>
      <c r="AH157" s="55" t="str">
        <f>IFERROR(Inv_SY!V159/Inv_SY!$Y159-1,"")</f>
        <v/>
      </c>
      <c r="AI157" s="55" t="str">
        <f>IFERROR(Inv_SY!W159/Inv_SY!$Y159-1,"")</f>
        <v/>
      </c>
      <c r="AJ157" s="55" t="str">
        <f>IFERROR(Inv_SY!X159/Inv_SY!$Y159-1,"")</f>
        <v/>
      </c>
      <c r="AK157" s="55" t="str">
        <f>IFERROR(Inv_SY!V159/Inv_SY!$Z159-1,"")</f>
        <v/>
      </c>
      <c r="AL157" s="55" t="str">
        <f>IFERROR(Inv_SY!W159/Inv_SY!$Z159-1,"")</f>
        <v/>
      </c>
      <c r="AM157" s="55" t="str">
        <f>IFERROR(Inv_SY!X159/Inv_SY!$Z159-1,"")</f>
        <v/>
      </c>
    </row>
    <row r="158" spans="1:39" x14ac:dyDescent="0.3">
      <c r="A158" s="273">
        <f>YEAR(Table5[[#This Row],[Date]])+IF(MONTH(Table5[[#This Row],[Date]])&gt;=4,1,0)</f>
        <v>2026</v>
      </c>
      <c r="B158" s="273"/>
      <c r="C158" s="273">
        <f>YEAR(Table5[[#This Row],[Date]])</f>
        <v>2025</v>
      </c>
      <c r="D158" s="273"/>
      <c r="E158" s="273"/>
      <c r="F158" s="274" t="str">
        <f>TEXT(Table5[[#This Row],[Date]],"mmm-yy")</f>
        <v>Sep-25</v>
      </c>
      <c r="G158" s="273">
        <f t="shared" si="7"/>
        <v>30</v>
      </c>
      <c r="H158" s="275">
        <f t="shared" si="8"/>
        <v>45901</v>
      </c>
      <c r="I158" s="273">
        <v>8.02</v>
      </c>
      <c r="J158" s="55" t="str">
        <f>IFERROR(Inv_SY!J160/Inv_SY!$Y160-1,"")</f>
        <v/>
      </c>
      <c r="K158" s="55" t="str">
        <f>IFERROR(Inv_SY!K160/Inv_SY!$Y160-1,"")</f>
        <v/>
      </c>
      <c r="L158" s="55" t="str">
        <f>IFERROR(Inv_SY!L160/Inv_SY!$Y160-1,"")</f>
        <v/>
      </c>
      <c r="M158" s="55" t="str">
        <f>IFERROR(Inv_SY!M160/Inv_SY!$Y160-1,"")</f>
        <v/>
      </c>
      <c r="N158" s="55" t="str">
        <f>IFERROR(Inv_SY!N160/Inv_SY!$Y160-1,"")</f>
        <v/>
      </c>
      <c r="O158" s="55" t="str">
        <f>IFERROR(Inv_SY!O160/Inv_SY!$Y160-1,"")</f>
        <v/>
      </c>
      <c r="P158" s="55" t="str">
        <f>IFERROR(Inv_SY!P160/Inv_SY!$Y160-1,"")</f>
        <v/>
      </c>
      <c r="Q158" s="55" t="str">
        <f>IFERROR(Inv_SY!Q160/Inv_SY!$Y160-1,"")</f>
        <v/>
      </c>
      <c r="R158" s="55" t="str">
        <f>IFERROR(Inv_SY!R160/Inv_SY!$Y160-1,"")</f>
        <v/>
      </c>
      <c r="S158" s="55" t="str">
        <f>IFERROR(Inv_SY!S160/Inv_SY!$Y160-1,"")</f>
        <v/>
      </c>
      <c r="T158" s="55" t="str">
        <f>IFERROR(Inv_SY!T160/Inv_SY!$Y160-1,"")</f>
        <v/>
      </c>
      <c r="U158" s="55" t="str">
        <f>IFERROR(Inv_SY!U160/Inv_SY!$Y160-1,"")</f>
        <v/>
      </c>
      <c r="V158" s="55" t="str">
        <f>IFERROR(Inv_SY!J160/Inv_SY!$Z160-1,"")</f>
        <v/>
      </c>
      <c r="W158" s="55" t="str">
        <f>IFERROR(Inv_SY!K160/Inv_SY!$Z160-1,"")</f>
        <v/>
      </c>
      <c r="X158" s="55" t="str">
        <f>IFERROR(Inv_SY!L160/Inv_SY!$Z160-1,"")</f>
        <v/>
      </c>
      <c r="Y158" s="55" t="str">
        <f>IFERROR(Inv_SY!M160/Inv_SY!$Z160-1,"")</f>
        <v/>
      </c>
      <c r="Z158" s="55" t="str">
        <f>IFERROR(Inv_SY!N160/Inv_SY!$Z160-1,"")</f>
        <v/>
      </c>
      <c r="AA158" s="55" t="str">
        <f>IFERROR(Inv_SY!O160/Inv_SY!$Z160-1,"")</f>
        <v/>
      </c>
      <c r="AB158" s="55" t="str">
        <f>IFERROR(Inv_SY!P160/Inv_SY!$Z160-1,"")</f>
        <v/>
      </c>
      <c r="AC158" s="55" t="str">
        <f>IFERROR(Inv_SY!Q160/Inv_SY!$Z160-1,"")</f>
        <v/>
      </c>
      <c r="AD158" s="55" t="str">
        <f>IFERROR(Inv_SY!R160/Inv_SY!$Z160-1,"")</f>
        <v/>
      </c>
      <c r="AE158" s="55" t="str">
        <f>IFERROR(Inv_SY!S160/Inv_SY!$Z160-1,"")</f>
        <v/>
      </c>
      <c r="AF158" s="55" t="str">
        <f>IFERROR(Inv_SY!T160/Inv_SY!$Z160-1,"")</f>
        <v/>
      </c>
      <c r="AG158" s="55" t="str">
        <f>IFERROR(Inv_SY!U160/Inv_SY!$Z160-1,"")</f>
        <v/>
      </c>
      <c r="AH158" s="55" t="str">
        <f>IFERROR(Inv_SY!V160/Inv_SY!$Y160-1,"")</f>
        <v/>
      </c>
      <c r="AI158" s="55" t="str">
        <f>IFERROR(Inv_SY!W160/Inv_SY!$Y160-1,"")</f>
        <v/>
      </c>
      <c r="AJ158" s="55" t="str">
        <f>IFERROR(Inv_SY!X160/Inv_SY!$Y160-1,"")</f>
        <v/>
      </c>
      <c r="AK158" s="55" t="str">
        <f>IFERROR(Inv_SY!V160/Inv_SY!$Z160-1,"")</f>
        <v/>
      </c>
      <c r="AL158" s="55" t="str">
        <f>IFERROR(Inv_SY!W160/Inv_SY!$Z160-1,"")</f>
        <v/>
      </c>
      <c r="AM158" s="55" t="str">
        <f>IFERROR(Inv_SY!X160/Inv_SY!$Z160-1,"")</f>
        <v/>
      </c>
    </row>
    <row r="159" spans="1:39" x14ac:dyDescent="0.3">
      <c r="A159" s="273">
        <f>YEAR(Table5[[#This Row],[Date]])+IF(MONTH(Table5[[#This Row],[Date]])&gt;=4,1,0)</f>
        <v>2026</v>
      </c>
      <c r="B159" s="273"/>
      <c r="C159" s="273">
        <f>YEAR(Table5[[#This Row],[Date]])</f>
        <v>2025</v>
      </c>
      <c r="D159" s="273"/>
      <c r="E159" s="273"/>
      <c r="F159" s="274" t="str">
        <f>TEXT(Table5[[#This Row],[Date]],"mmm-yy")</f>
        <v>Sep-25</v>
      </c>
      <c r="G159" s="273">
        <f t="shared" si="7"/>
        <v>30</v>
      </c>
      <c r="H159" s="275">
        <f t="shared" si="8"/>
        <v>45902</v>
      </c>
      <c r="I159" s="273">
        <v>8.02</v>
      </c>
      <c r="J159" s="55" t="str">
        <f>IFERROR(Inv_SY!J161/Inv_SY!$Y161-1,"")</f>
        <v/>
      </c>
      <c r="K159" s="55" t="str">
        <f>IFERROR(Inv_SY!K161/Inv_SY!$Y161-1,"")</f>
        <v/>
      </c>
      <c r="L159" s="55" t="str">
        <f>IFERROR(Inv_SY!L161/Inv_SY!$Y161-1,"")</f>
        <v/>
      </c>
      <c r="M159" s="55" t="str">
        <f>IFERROR(Inv_SY!M161/Inv_SY!$Y161-1,"")</f>
        <v/>
      </c>
      <c r="N159" s="55" t="str">
        <f>IFERROR(Inv_SY!N161/Inv_SY!$Y161-1,"")</f>
        <v/>
      </c>
      <c r="O159" s="55" t="str">
        <f>IFERROR(Inv_SY!O161/Inv_SY!$Y161-1,"")</f>
        <v/>
      </c>
      <c r="P159" s="55" t="str">
        <f>IFERROR(Inv_SY!P161/Inv_SY!$Y161-1,"")</f>
        <v/>
      </c>
      <c r="Q159" s="55" t="str">
        <f>IFERROR(Inv_SY!Q161/Inv_SY!$Y161-1,"")</f>
        <v/>
      </c>
      <c r="R159" s="55" t="str">
        <f>IFERROR(Inv_SY!R161/Inv_SY!$Y161-1,"")</f>
        <v/>
      </c>
      <c r="S159" s="55" t="str">
        <f>IFERROR(Inv_SY!S161/Inv_SY!$Y161-1,"")</f>
        <v/>
      </c>
      <c r="T159" s="55" t="str">
        <f>IFERROR(Inv_SY!T161/Inv_SY!$Y161-1,"")</f>
        <v/>
      </c>
      <c r="U159" s="55" t="str">
        <f>IFERROR(Inv_SY!U161/Inv_SY!$Y161-1,"")</f>
        <v/>
      </c>
      <c r="V159" s="55" t="str">
        <f>IFERROR(Inv_SY!J161/Inv_SY!$Z161-1,"")</f>
        <v/>
      </c>
      <c r="W159" s="55" t="str">
        <f>IFERROR(Inv_SY!K161/Inv_SY!$Z161-1,"")</f>
        <v/>
      </c>
      <c r="X159" s="55" t="str">
        <f>IFERROR(Inv_SY!L161/Inv_SY!$Z161-1,"")</f>
        <v/>
      </c>
      <c r="Y159" s="55" t="str">
        <f>IFERROR(Inv_SY!M161/Inv_SY!$Z161-1,"")</f>
        <v/>
      </c>
      <c r="Z159" s="55" t="str">
        <f>IFERROR(Inv_SY!N161/Inv_SY!$Z161-1,"")</f>
        <v/>
      </c>
      <c r="AA159" s="55" t="str">
        <f>IFERROR(Inv_SY!O161/Inv_SY!$Z161-1,"")</f>
        <v/>
      </c>
      <c r="AB159" s="55" t="str">
        <f>IFERROR(Inv_SY!P161/Inv_SY!$Z161-1,"")</f>
        <v/>
      </c>
      <c r="AC159" s="55" t="str">
        <f>IFERROR(Inv_SY!Q161/Inv_SY!$Z161-1,"")</f>
        <v/>
      </c>
      <c r="AD159" s="55" t="str">
        <f>IFERROR(Inv_SY!R161/Inv_SY!$Z161-1,"")</f>
        <v/>
      </c>
      <c r="AE159" s="55" t="str">
        <f>IFERROR(Inv_SY!S161/Inv_SY!$Z161-1,"")</f>
        <v/>
      </c>
      <c r="AF159" s="55" t="str">
        <f>IFERROR(Inv_SY!T161/Inv_SY!$Z161-1,"")</f>
        <v/>
      </c>
      <c r="AG159" s="55" t="str">
        <f>IFERROR(Inv_SY!U161/Inv_SY!$Z161-1,"")</f>
        <v/>
      </c>
      <c r="AH159" s="55" t="str">
        <f>IFERROR(Inv_SY!V161/Inv_SY!$Y161-1,"")</f>
        <v/>
      </c>
      <c r="AI159" s="55" t="str">
        <f>IFERROR(Inv_SY!W161/Inv_SY!$Y161-1,"")</f>
        <v/>
      </c>
      <c r="AJ159" s="55" t="str">
        <f>IFERROR(Inv_SY!X161/Inv_SY!$Y161-1,"")</f>
        <v/>
      </c>
      <c r="AK159" s="55" t="str">
        <f>IFERROR(Inv_SY!V161/Inv_SY!$Z161-1,"")</f>
        <v/>
      </c>
      <c r="AL159" s="55" t="str">
        <f>IFERROR(Inv_SY!W161/Inv_SY!$Z161-1,"")</f>
        <v/>
      </c>
      <c r="AM159" s="55" t="str">
        <f>IFERROR(Inv_SY!X161/Inv_SY!$Z161-1,"")</f>
        <v/>
      </c>
    </row>
    <row r="160" spans="1:39" x14ac:dyDescent="0.3">
      <c r="A160" s="273">
        <f>YEAR(Table5[[#This Row],[Date]])+IF(MONTH(Table5[[#This Row],[Date]])&gt;=4,1,0)</f>
        <v>2026</v>
      </c>
      <c r="B160" s="273"/>
      <c r="C160" s="273">
        <f>YEAR(Table5[[#This Row],[Date]])</f>
        <v>2025</v>
      </c>
      <c r="D160" s="273"/>
      <c r="E160" s="273"/>
      <c r="F160" s="274" t="str">
        <f>TEXT(Table5[[#This Row],[Date]],"mmm-yy")</f>
        <v>Sep-25</v>
      </c>
      <c r="G160" s="273">
        <f t="shared" si="7"/>
        <v>30</v>
      </c>
      <c r="H160" s="275">
        <f t="shared" si="8"/>
        <v>45903</v>
      </c>
      <c r="I160" s="273">
        <v>8.02</v>
      </c>
      <c r="J160" s="55" t="str">
        <f>IFERROR(Inv_SY!J162/Inv_SY!$Y162-1,"")</f>
        <v/>
      </c>
      <c r="K160" s="55" t="str">
        <f>IFERROR(Inv_SY!K162/Inv_SY!$Y162-1,"")</f>
        <v/>
      </c>
      <c r="L160" s="55" t="str">
        <f>IFERROR(Inv_SY!L162/Inv_SY!$Y162-1,"")</f>
        <v/>
      </c>
      <c r="M160" s="55" t="str">
        <f>IFERROR(Inv_SY!M162/Inv_SY!$Y162-1,"")</f>
        <v/>
      </c>
      <c r="N160" s="55" t="str">
        <f>IFERROR(Inv_SY!N162/Inv_SY!$Y162-1,"")</f>
        <v/>
      </c>
      <c r="O160" s="55" t="str">
        <f>IFERROR(Inv_SY!O162/Inv_SY!$Y162-1,"")</f>
        <v/>
      </c>
      <c r="P160" s="55" t="str">
        <f>IFERROR(Inv_SY!P162/Inv_SY!$Y162-1,"")</f>
        <v/>
      </c>
      <c r="Q160" s="55" t="str">
        <f>IFERROR(Inv_SY!Q162/Inv_SY!$Y162-1,"")</f>
        <v/>
      </c>
      <c r="R160" s="55" t="str">
        <f>IFERROR(Inv_SY!R162/Inv_SY!$Y162-1,"")</f>
        <v/>
      </c>
      <c r="S160" s="55" t="str">
        <f>IFERROR(Inv_SY!S162/Inv_SY!$Y162-1,"")</f>
        <v/>
      </c>
      <c r="T160" s="55" t="str">
        <f>IFERROR(Inv_SY!T162/Inv_SY!$Y162-1,"")</f>
        <v/>
      </c>
      <c r="U160" s="55" t="str">
        <f>IFERROR(Inv_SY!U162/Inv_SY!$Y162-1,"")</f>
        <v/>
      </c>
      <c r="V160" s="55" t="str">
        <f>IFERROR(Inv_SY!J162/Inv_SY!$Z162-1,"")</f>
        <v/>
      </c>
      <c r="W160" s="55" t="str">
        <f>IFERROR(Inv_SY!K162/Inv_SY!$Z162-1,"")</f>
        <v/>
      </c>
      <c r="X160" s="55" t="str">
        <f>IFERROR(Inv_SY!L162/Inv_SY!$Z162-1,"")</f>
        <v/>
      </c>
      <c r="Y160" s="55" t="str">
        <f>IFERROR(Inv_SY!M162/Inv_SY!$Z162-1,"")</f>
        <v/>
      </c>
      <c r="Z160" s="55" t="str">
        <f>IFERROR(Inv_SY!N162/Inv_SY!$Z162-1,"")</f>
        <v/>
      </c>
      <c r="AA160" s="55" t="str">
        <f>IFERROR(Inv_SY!O162/Inv_SY!$Z162-1,"")</f>
        <v/>
      </c>
      <c r="AB160" s="55" t="str">
        <f>IFERROR(Inv_SY!P162/Inv_SY!$Z162-1,"")</f>
        <v/>
      </c>
      <c r="AC160" s="55" t="str">
        <f>IFERROR(Inv_SY!Q162/Inv_SY!$Z162-1,"")</f>
        <v/>
      </c>
      <c r="AD160" s="55" t="str">
        <f>IFERROR(Inv_SY!R162/Inv_SY!$Z162-1,"")</f>
        <v/>
      </c>
      <c r="AE160" s="55" t="str">
        <f>IFERROR(Inv_SY!S162/Inv_SY!$Z162-1,"")</f>
        <v/>
      </c>
      <c r="AF160" s="55" t="str">
        <f>IFERROR(Inv_SY!T162/Inv_SY!$Z162-1,"")</f>
        <v/>
      </c>
      <c r="AG160" s="55" t="str">
        <f>IFERROR(Inv_SY!U162/Inv_SY!$Z162-1,"")</f>
        <v/>
      </c>
      <c r="AH160" s="55" t="str">
        <f>IFERROR(Inv_SY!V162/Inv_SY!$Y162-1,"")</f>
        <v/>
      </c>
      <c r="AI160" s="55" t="str">
        <f>IFERROR(Inv_SY!W162/Inv_SY!$Y162-1,"")</f>
        <v/>
      </c>
      <c r="AJ160" s="55" t="str">
        <f>IFERROR(Inv_SY!X162/Inv_SY!$Y162-1,"")</f>
        <v/>
      </c>
      <c r="AK160" s="55" t="str">
        <f>IFERROR(Inv_SY!V162/Inv_SY!$Z162-1,"")</f>
        <v/>
      </c>
      <c r="AL160" s="55" t="str">
        <f>IFERROR(Inv_SY!W162/Inv_SY!$Z162-1,"")</f>
        <v/>
      </c>
      <c r="AM160" s="55" t="str">
        <f>IFERROR(Inv_SY!X162/Inv_SY!$Z162-1,"")</f>
        <v/>
      </c>
    </row>
    <row r="161" spans="1:39" x14ac:dyDescent="0.3">
      <c r="A161" s="273">
        <f>YEAR(Table5[[#This Row],[Date]])+IF(MONTH(Table5[[#This Row],[Date]])&gt;=4,1,0)</f>
        <v>2026</v>
      </c>
      <c r="B161" s="273"/>
      <c r="C161" s="273">
        <f>YEAR(Table5[[#This Row],[Date]])</f>
        <v>2025</v>
      </c>
      <c r="D161" s="273"/>
      <c r="E161" s="273"/>
      <c r="F161" s="274" t="str">
        <f>TEXT(Table5[[#This Row],[Date]],"mmm-yy")</f>
        <v>Sep-25</v>
      </c>
      <c r="G161" s="273">
        <f t="shared" si="7"/>
        <v>30</v>
      </c>
      <c r="H161" s="275">
        <f t="shared" si="8"/>
        <v>45904</v>
      </c>
      <c r="I161" s="273">
        <v>8.02</v>
      </c>
      <c r="J161" s="55" t="str">
        <f>IFERROR(Inv_SY!J163/Inv_SY!$Y163-1,"")</f>
        <v/>
      </c>
      <c r="K161" s="55" t="str">
        <f>IFERROR(Inv_SY!K163/Inv_SY!$Y163-1,"")</f>
        <v/>
      </c>
      <c r="L161" s="55" t="str">
        <f>IFERROR(Inv_SY!L163/Inv_SY!$Y163-1,"")</f>
        <v/>
      </c>
      <c r="M161" s="55" t="str">
        <f>IFERROR(Inv_SY!M163/Inv_SY!$Y163-1,"")</f>
        <v/>
      </c>
      <c r="N161" s="55" t="str">
        <f>IFERROR(Inv_SY!N163/Inv_SY!$Y163-1,"")</f>
        <v/>
      </c>
      <c r="O161" s="55" t="str">
        <f>IFERROR(Inv_SY!O163/Inv_SY!$Y163-1,"")</f>
        <v/>
      </c>
      <c r="P161" s="55" t="str">
        <f>IFERROR(Inv_SY!P163/Inv_SY!$Y163-1,"")</f>
        <v/>
      </c>
      <c r="Q161" s="55" t="str">
        <f>IFERROR(Inv_SY!Q163/Inv_SY!$Y163-1,"")</f>
        <v/>
      </c>
      <c r="R161" s="55" t="str">
        <f>IFERROR(Inv_SY!R163/Inv_SY!$Y163-1,"")</f>
        <v/>
      </c>
      <c r="S161" s="55" t="str">
        <f>IFERROR(Inv_SY!S163/Inv_SY!$Y163-1,"")</f>
        <v/>
      </c>
      <c r="T161" s="55" t="str">
        <f>IFERROR(Inv_SY!T163/Inv_SY!$Y163-1,"")</f>
        <v/>
      </c>
      <c r="U161" s="55" t="str">
        <f>IFERROR(Inv_SY!U163/Inv_SY!$Y163-1,"")</f>
        <v/>
      </c>
      <c r="V161" s="55" t="str">
        <f>IFERROR(Inv_SY!J163/Inv_SY!$Z163-1,"")</f>
        <v/>
      </c>
      <c r="W161" s="55" t="str">
        <f>IFERROR(Inv_SY!K163/Inv_SY!$Z163-1,"")</f>
        <v/>
      </c>
      <c r="X161" s="55" t="str">
        <f>IFERROR(Inv_SY!L163/Inv_SY!$Z163-1,"")</f>
        <v/>
      </c>
      <c r="Y161" s="55" t="str">
        <f>IFERROR(Inv_SY!M163/Inv_SY!$Z163-1,"")</f>
        <v/>
      </c>
      <c r="Z161" s="55" t="str">
        <f>IFERROR(Inv_SY!N163/Inv_SY!$Z163-1,"")</f>
        <v/>
      </c>
      <c r="AA161" s="55" t="str">
        <f>IFERROR(Inv_SY!O163/Inv_SY!$Z163-1,"")</f>
        <v/>
      </c>
      <c r="AB161" s="55" t="str">
        <f>IFERROR(Inv_SY!P163/Inv_SY!$Z163-1,"")</f>
        <v/>
      </c>
      <c r="AC161" s="55" t="str">
        <f>IFERROR(Inv_SY!Q163/Inv_SY!$Z163-1,"")</f>
        <v/>
      </c>
      <c r="AD161" s="55" t="str">
        <f>IFERROR(Inv_SY!R163/Inv_SY!$Z163-1,"")</f>
        <v/>
      </c>
      <c r="AE161" s="55" t="str">
        <f>IFERROR(Inv_SY!S163/Inv_SY!$Z163-1,"")</f>
        <v/>
      </c>
      <c r="AF161" s="55" t="str">
        <f>IFERROR(Inv_SY!T163/Inv_SY!$Z163-1,"")</f>
        <v/>
      </c>
      <c r="AG161" s="55" t="str">
        <f>IFERROR(Inv_SY!U163/Inv_SY!$Z163-1,"")</f>
        <v/>
      </c>
      <c r="AH161" s="55" t="str">
        <f>IFERROR(Inv_SY!V163/Inv_SY!$Y163-1,"")</f>
        <v/>
      </c>
      <c r="AI161" s="55" t="str">
        <f>IFERROR(Inv_SY!W163/Inv_SY!$Y163-1,"")</f>
        <v/>
      </c>
      <c r="AJ161" s="55" t="str">
        <f>IFERROR(Inv_SY!X163/Inv_SY!$Y163-1,"")</f>
        <v/>
      </c>
      <c r="AK161" s="55" t="str">
        <f>IFERROR(Inv_SY!V163/Inv_SY!$Z163-1,"")</f>
        <v/>
      </c>
      <c r="AL161" s="55" t="str">
        <f>IFERROR(Inv_SY!W163/Inv_SY!$Z163-1,"")</f>
        <v/>
      </c>
      <c r="AM161" s="55" t="str">
        <f>IFERROR(Inv_SY!X163/Inv_SY!$Z163-1,"")</f>
        <v/>
      </c>
    </row>
    <row r="162" spans="1:39" x14ac:dyDescent="0.3">
      <c r="A162" s="273">
        <f>YEAR(Table5[[#This Row],[Date]])+IF(MONTH(Table5[[#This Row],[Date]])&gt;=4,1,0)</f>
        <v>2026</v>
      </c>
      <c r="B162" s="273"/>
      <c r="C162" s="273">
        <f>YEAR(Table5[[#This Row],[Date]])</f>
        <v>2025</v>
      </c>
      <c r="D162" s="273"/>
      <c r="E162" s="273"/>
      <c r="F162" s="274" t="str">
        <f>TEXT(Table5[[#This Row],[Date]],"mmm-yy")</f>
        <v>Sep-25</v>
      </c>
      <c r="G162" s="273">
        <f t="shared" si="7"/>
        <v>30</v>
      </c>
      <c r="H162" s="275">
        <f t="shared" si="8"/>
        <v>45905</v>
      </c>
      <c r="I162" s="273">
        <v>8.02</v>
      </c>
      <c r="J162" s="55" t="str">
        <f>IFERROR(Inv_SY!J164/Inv_SY!$Y164-1,"")</f>
        <v/>
      </c>
      <c r="K162" s="55" t="str">
        <f>IFERROR(Inv_SY!K164/Inv_SY!$Y164-1,"")</f>
        <v/>
      </c>
      <c r="L162" s="55" t="str">
        <f>IFERROR(Inv_SY!L164/Inv_SY!$Y164-1,"")</f>
        <v/>
      </c>
      <c r="M162" s="55" t="str">
        <f>IFERROR(Inv_SY!M164/Inv_SY!$Y164-1,"")</f>
        <v/>
      </c>
      <c r="N162" s="55" t="str">
        <f>IFERROR(Inv_SY!N164/Inv_SY!$Y164-1,"")</f>
        <v/>
      </c>
      <c r="O162" s="55" t="str">
        <f>IFERROR(Inv_SY!O164/Inv_SY!$Y164-1,"")</f>
        <v/>
      </c>
      <c r="P162" s="55" t="str">
        <f>IFERROR(Inv_SY!P164/Inv_SY!$Y164-1,"")</f>
        <v/>
      </c>
      <c r="Q162" s="55" t="str">
        <f>IFERROR(Inv_SY!Q164/Inv_SY!$Y164-1,"")</f>
        <v/>
      </c>
      <c r="R162" s="55" t="str">
        <f>IFERROR(Inv_SY!R164/Inv_SY!$Y164-1,"")</f>
        <v/>
      </c>
      <c r="S162" s="55" t="str">
        <f>IFERROR(Inv_SY!S164/Inv_SY!$Y164-1,"")</f>
        <v/>
      </c>
      <c r="T162" s="55" t="str">
        <f>IFERROR(Inv_SY!T164/Inv_SY!$Y164-1,"")</f>
        <v/>
      </c>
      <c r="U162" s="55" t="str">
        <f>IFERROR(Inv_SY!U164/Inv_SY!$Y164-1,"")</f>
        <v/>
      </c>
      <c r="V162" s="55" t="str">
        <f>IFERROR(Inv_SY!J164/Inv_SY!$Z164-1,"")</f>
        <v/>
      </c>
      <c r="W162" s="55" t="str">
        <f>IFERROR(Inv_SY!K164/Inv_SY!$Z164-1,"")</f>
        <v/>
      </c>
      <c r="X162" s="55" t="str">
        <f>IFERROR(Inv_SY!L164/Inv_SY!$Z164-1,"")</f>
        <v/>
      </c>
      <c r="Y162" s="55" t="str">
        <f>IFERROR(Inv_SY!M164/Inv_SY!$Z164-1,"")</f>
        <v/>
      </c>
      <c r="Z162" s="55" t="str">
        <f>IFERROR(Inv_SY!N164/Inv_SY!$Z164-1,"")</f>
        <v/>
      </c>
      <c r="AA162" s="55" t="str">
        <f>IFERROR(Inv_SY!O164/Inv_SY!$Z164-1,"")</f>
        <v/>
      </c>
      <c r="AB162" s="55" t="str">
        <f>IFERROR(Inv_SY!P164/Inv_SY!$Z164-1,"")</f>
        <v/>
      </c>
      <c r="AC162" s="55" t="str">
        <f>IFERROR(Inv_SY!Q164/Inv_SY!$Z164-1,"")</f>
        <v/>
      </c>
      <c r="AD162" s="55" t="str">
        <f>IFERROR(Inv_SY!R164/Inv_SY!$Z164-1,"")</f>
        <v/>
      </c>
      <c r="AE162" s="55" t="str">
        <f>IFERROR(Inv_SY!S164/Inv_SY!$Z164-1,"")</f>
        <v/>
      </c>
      <c r="AF162" s="55" t="str">
        <f>IFERROR(Inv_SY!T164/Inv_SY!$Z164-1,"")</f>
        <v/>
      </c>
      <c r="AG162" s="55" t="str">
        <f>IFERROR(Inv_SY!U164/Inv_SY!$Z164-1,"")</f>
        <v/>
      </c>
      <c r="AH162" s="55" t="str">
        <f>IFERROR(Inv_SY!V164/Inv_SY!$Y164-1,"")</f>
        <v/>
      </c>
      <c r="AI162" s="55" t="str">
        <f>IFERROR(Inv_SY!W164/Inv_SY!$Y164-1,"")</f>
        <v/>
      </c>
      <c r="AJ162" s="55" t="str">
        <f>IFERROR(Inv_SY!X164/Inv_SY!$Y164-1,"")</f>
        <v/>
      </c>
      <c r="AK162" s="55" t="str">
        <f>IFERROR(Inv_SY!V164/Inv_SY!$Z164-1,"")</f>
        <v/>
      </c>
      <c r="AL162" s="55" t="str">
        <f>IFERROR(Inv_SY!W164/Inv_SY!$Z164-1,"")</f>
        <v/>
      </c>
      <c r="AM162" s="55" t="str">
        <f>IFERROR(Inv_SY!X164/Inv_SY!$Z164-1,"")</f>
        <v/>
      </c>
    </row>
    <row r="163" spans="1:39" x14ac:dyDescent="0.3">
      <c r="A163" s="273">
        <f>YEAR(Table5[[#This Row],[Date]])+IF(MONTH(Table5[[#This Row],[Date]])&gt;=4,1,0)</f>
        <v>2026</v>
      </c>
      <c r="B163" s="273"/>
      <c r="C163" s="273">
        <f>YEAR(Table5[[#This Row],[Date]])</f>
        <v>2025</v>
      </c>
      <c r="D163" s="273"/>
      <c r="E163" s="273"/>
      <c r="F163" s="274" t="str">
        <f>TEXT(Table5[[#This Row],[Date]],"mmm-yy")</f>
        <v>Sep-25</v>
      </c>
      <c r="G163" s="273">
        <f t="shared" si="7"/>
        <v>30</v>
      </c>
      <c r="H163" s="275">
        <f t="shared" si="8"/>
        <v>45906</v>
      </c>
      <c r="I163" s="273">
        <v>8.02</v>
      </c>
      <c r="J163" s="55" t="str">
        <f>IFERROR(Inv_SY!J165/Inv_SY!$Y165-1,"")</f>
        <v/>
      </c>
      <c r="K163" s="55" t="str">
        <f>IFERROR(Inv_SY!K165/Inv_SY!$Y165-1,"")</f>
        <v/>
      </c>
      <c r="L163" s="55" t="str">
        <f>IFERROR(Inv_SY!L165/Inv_SY!$Y165-1,"")</f>
        <v/>
      </c>
      <c r="M163" s="55" t="str">
        <f>IFERROR(Inv_SY!M165/Inv_SY!$Y165-1,"")</f>
        <v/>
      </c>
      <c r="N163" s="55" t="str">
        <f>IFERROR(Inv_SY!N165/Inv_SY!$Y165-1,"")</f>
        <v/>
      </c>
      <c r="O163" s="55" t="str">
        <f>IFERROR(Inv_SY!O165/Inv_SY!$Y165-1,"")</f>
        <v/>
      </c>
      <c r="P163" s="55" t="str">
        <f>IFERROR(Inv_SY!P165/Inv_SY!$Y165-1,"")</f>
        <v/>
      </c>
      <c r="Q163" s="55" t="str">
        <f>IFERROR(Inv_SY!Q165/Inv_SY!$Y165-1,"")</f>
        <v/>
      </c>
      <c r="R163" s="55" t="str">
        <f>IFERROR(Inv_SY!R165/Inv_SY!$Y165-1,"")</f>
        <v/>
      </c>
      <c r="S163" s="55" t="str">
        <f>IFERROR(Inv_SY!S165/Inv_SY!$Y165-1,"")</f>
        <v/>
      </c>
      <c r="T163" s="55" t="str">
        <f>IFERROR(Inv_SY!T165/Inv_SY!$Y165-1,"")</f>
        <v/>
      </c>
      <c r="U163" s="55" t="str">
        <f>IFERROR(Inv_SY!U165/Inv_SY!$Y165-1,"")</f>
        <v/>
      </c>
      <c r="V163" s="55" t="str">
        <f>IFERROR(Inv_SY!J165/Inv_SY!$Z165-1,"")</f>
        <v/>
      </c>
      <c r="W163" s="55" t="str">
        <f>IFERROR(Inv_SY!K165/Inv_SY!$Z165-1,"")</f>
        <v/>
      </c>
      <c r="X163" s="55" t="str">
        <f>IFERROR(Inv_SY!L165/Inv_SY!$Z165-1,"")</f>
        <v/>
      </c>
      <c r="Y163" s="55" t="str">
        <f>IFERROR(Inv_SY!M165/Inv_SY!$Z165-1,"")</f>
        <v/>
      </c>
      <c r="Z163" s="55" t="str">
        <f>IFERROR(Inv_SY!N165/Inv_SY!$Z165-1,"")</f>
        <v/>
      </c>
      <c r="AA163" s="55" t="str">
        <f>IFERROR(Inv_SY!O165/Inv_SY!$Z165-1,"")</f>
        <v/>
      </c>
      <c r="AB163" s="55" t="str">
        <f>IFERROR(Inv_SY!P165/Inv_SY!$Z165-1,"")</f>
        <v/>
      </c>
      <c r="AC163" s="55" t="str">
        <f>IFERROR(Inv_SY!Q165/Inv_SY!$Z165-1,"")</f>
        <v/>
      </c>
      <c r="AD163" s="55" t="str">
        <f>IFERROR(Inv_SY!R165/Inv_SY!$Z165-1,"")</f>
        <v/>
      </c>
      <c r="AE163" s="55" t="str">
        <f>IFERROR(Inv_SY!S165/Inv_SY!$Z165-1,"")</f>
        <v/>
      </c>
      <c r="AF163" s="55" t="str">
        <f>IFERROR(Inv_SY!T165/Inv_SY!$Z165-1,"")</f>
        <v/>
      </c>
      <c r="AG163" s="55" t="str">
        <f>IFERROR(Inv_SY!U165/Inv_SY!$Z165-1,"")</f>
        <v/>
      </c>
      <c r="AH163" s="55" t="str">
        <f>IFERROR(Inv_SY!V165/Inv_SY!$Y165-1,"")</f>
        <v/>
      </c>
      <c r="AI163" s="55" t="str">
        <f>IFERROR(Inv_SY!W165/Inv_SY!$Y165-1,"")</f>
        <v/>
      </c>
      <c r="AJ163" s="55" t="str">
        <f>IFERROR(Inv_SY!X165/Inv_SY!$Y165-1,"")</f>
        <v/>
      </c>
      <c r="AK163" s="55" t="str">
        <f>IFERROR(Inv_SY!V165/Inv_SY!$Z165-1,"")</f>
        <v/>
      </c>
      <c r="AL163" s="55" t="str">
        <f>IFERROR(Inv_SY!W165/Inv_SY!$Z165-1,"")</f>
        <v/>
      </c>
      <c r="AM163" s="55" t="str">
        <f>IFERROR(Inv_SY!X165/Inv_SY!$Z165-1,"")</f>
        <v/>
      </c>
    </row>
    <row r="164" spans="1:39" x14ac:dyDescent="0.3">
      <c r="A164" s="273">
        <f>YEAR(Table5[[#This Row],[Date]])+IF(MONTH(Table5[[#This Row],[Date]])&gt;=4,1,0)</f>
        <v>2026</v>
      </c>
      <c r="B164" s="273"/>
      <c r="C164" s="273">
        <f>YEAR(Table5[[#This Row],[Date]])</f>
        <v>2025</v>
      </c>
      <c r="D164" s="273"/>
      <c r="E164" s="273"/>
      <c r="F164" s="274" t="str">
        <f>TEXT(Table5[[#This Row],[Date]],"mmm-yy")</f>
        <v>Sep-25</v>
      </c>
      <c r="G164" s="273">
        <f t="shared" si="7"/>
        <v>30</v>
      </c>
      <c r="H164" s="275">
        <f t="shared" si="8"/>
        <v>45907</v>
      </c>
      <c r="I164" s="273">
        <v>8.02</v>
      </c>
      <c r="J164" s="55" t="str">
        <f>IFERROR(Inv_SY!J166/Inv_SY!$Y166-1,"")</f>
        <v/>
      </c>
      <c r="K164" s="55" t="str">
        <f>IFERROR(Inv_SY!K166/Inv_SY!$Y166-1,"")</f>
        <v/>
      </c>
      <c r="L164" s="55" t="str">
        <f>IFERROR(Inv_SY!L166/Inv_SY!$Y166-1,"")</f>
        <v/>
      </c>
      <c r="M164" s="55" t="str">
        <f>IFERROR(Inv_SY!M166/Inv_SY!$Y166-1,"")</f>
        <v/>
      </c>
      <c r="N164" s="55" t="str">
        <f>IFERROR(Inv_SY!N166/Inv_SY!$Y166-1,"")</f>
        <v/>
      </c>
      <c r="O164" s="55" t="str">
        <f>IFERROR(Inv_SY!O166/Inv_SY!$Y166-1,"")</f>
        <v/>
      </c>
      <c r="P164" s="55" t="str">
        <f>IFERROR(Inv_SY!P166/Inv_SY!$Y166-1,"")</f>
        <v/>
      </c>
      <c r="Q164" s="55" t="str">
        <f>IFERROR(Inv_SY!Q166/Inv_SY!$Y166-1,"")</f>
        <v/>
      </c>
      <c r="R164" s="55" t="str">
        <f>IFERROR(Inv_SY!R166/Inv_SY!$Y166-1,"")</f>
        <v/>
      </c>
      <c r="S164" s="55" t="str">
        <f>IFERROR(Inv_SY!S166/Inv_SY!$Y166-1,"")</f>
        <v/>
      </c>
      <c r="T164" s="55" t="str">
        <f>IFERROR(Inv_SY!T166/Inv_SY!$Y166-1,"")</f>
        <v/>
      </c>
      <c r="U164" s="55" t="str">
        <f>IFERROR(Inv_SY!U166/Inv_SY!$Y166-1,"")</f>
        <v/>
      </c>
      <c r="V164" s="55" t="str">
        <f>IFERROR(Inv_SY!J166/Inv_SY!$Z166-1,"")</f>
        <v/>
      </c>
      <c r="W164" s="55" t="str">
        <f>IFERROR(Inv_SY!K166/Inv_SY!$Z166-1,"")</f>
        <v/>
      </c>
      <c r="X164" s="55" t="str">
        <f>IFERROR(Inv_SY!L166/Inv_SY!$Z166-1,"")</f>
        <v/>
      </c>
      <c r="Y164" s="55" t="str">
        <f>IFERROR(Inv_SY!M166/Inv_SY!$Z166-1,"")</f>
        <v/>
      </c>
      <c r="Z164" s="55" t="str">
        <f>IFERROR(Inv_SY!N166/Inv_SY!$Z166-1,"")</f>
        <v/>
      </c>
      <c r="AA164" s="55" t="str">
        <f>IFERROR(Inv_SY!O166/Inv_SY!$Z166-1,"")</f>
        <v/>
      </c>
      <c r="AB164" s="55" t="str">
        <f>IFERROR(Inv_SY!P166/Inv_SY!$Z166-1,"")</f>
        <v/>
      </c>
      <c r="AC164" s="55" t="str">
        <f>IFERROR(Inv_SY!Q166/Inv_SY!$Z166-1,"")</f>
        <v/>
      </c>
      <c r="AD164" s="55" t="str">
        <f>IFERROR(Inv_SY!R166/Inv_SY!$Z166-1,"")</f>
        <v/>
      </c>
      <c r="AE164" s="55" t="str">
        <f>IFERROR(Inv_SY!S166/Inv_SY!$Z166-1,"")</f>
        <v/>
      </c>
      <c r="AF164" s="55" t="str">
        <f>IFERROR(Inv_SY!T166/Inv_SY!$Z166-1,"")</f>
        <v/>
      </c>
      <c r="AG164" s="55" t="str">
        <f>IFERROR(Inv_SY!U166/Inv_SY!$Z166-1,"")</f>
        <v/>
      </c>
      <c r="AH164" s="55" t="str">
        <f>IFERROR(Inv_SY!V166/Inv_SY!$Y166-1,"")</f>
        <v/>
      </c>
      <c r="AI164" s="55" t="str">
        <f>IFERROR(Inv_SY!W166/Inv_SY!$Y166-1,"")</f>
        <v/>
      </c>
      <c r="AJ164" s="55" t="str">
        <f>IFERROR(Inv_SY!X166/Inv_SY!$Y166-1,"")</f>
        <v/>
      </c>
      <c r="AK164" s="55" t="str">
        <f>IFERROR(Inv_SY!V166/Inv_SY!$Z166-1,"")</f>
        <v/>
      </c>
      <c r="AL164" s="55" t="str">
        <f>IFERROR(Inv_SY!W166/Inv_SY!$Z166-1,"")</f>
        <v/>
      </c>
      <c r="AM164" s="55" t="str">
        <f>IFERROR(Inv_SY!X166/Inv_SY!$Z166-1,"")</f>
        <v/>
      </c>
    </row>
    <row r="165" spans="1:39" x14ac:dyDescent="0.3">
      <c r="A165" s="273">
        <f>YEAR(Table5[[#This Row],[Date]])+IF(MONTH(Table5[[#This Row],[Date]])&gt;=4,1,0)</f>
        <v>2026</v>
      </c>
      <c r="B165" s="273"/>
      <c r="C165" s="273">
        <f>YEAR(Table5[[#This Row],[Date]])</f>
        <v>2025</v>
      </c>
      <c r="D165" s="273"/>
      <c r="E165" s="273"/>
      <c r="F165" s="274" t="str">
        <f>TEXT(Table5[[#This Row],[Date]],"mmm-yy")</f>
        <v>Sep-25</v>
      </c>
      <c r="G165" s="273">
        <f t="shared" si="7"/>
        <v>30</v>
      </c>
      <c r="H165" s="275">
        <f t="shared" si="8"/>
        <v>45908</v>
      </c>
      <c r="I165" s="273">
        <v>8.02</v>
      </c>
      <c r="J165" s="55" t="str">
        <f>IFERROR(Inv_SY!J167/Inv_SY!$Y167-1,"")</f>
        <v/>
      </c>
      <c r="K165" s="55" t="str">
        <f>IFERROR(Inv_SY!K167/Inv_SY!$Y167-1,"")</f>
        <v/>
      </c>
      <c r="L165" s="55" t="str">
        <f>IFERROR(Inv_SY!L167/Inv_SY!$Y167-1,"")</f>
        <v/>
      </c>
      <c r="M165" s="55" t="str">
        <f>IFERROR(Inv_SY!M167/Inv_SY!$Y167-1,"")</f>
        <v/>
      </c>
      <c r="N165" s="55" t="str">
        <f>IFERROR(Inv_SY!N167/Inv_SY!$Y167-1,"")</f>
        <v/>
      </c>
      <c r="O165" s="55" t="str">
        <f>IFERROR(Inv_SY!O167/Inv_SY!$Y167-1,"")</f>
        <v/>
      </c>
      <c r="P165" s="55" t="str">
        <f>IFERROR(Inv_SY!P167/Inv_SY!$Y167-1,"")</f>
        <v/>
      </c>
      <c r="Q165" s="55" t="str">
        <f>IFERROR(Inv_SY!Q167/Inv_SY!$Y167-1,"")</f>
        <v/>
      </c>
      <c r="R165" s="55" t="str">
        <f>IFERROR(Inv_SY!R167/Inv_SY!$Y167-1,"")</f>
        <v/>
      </c>
      <c r="S165" s="55" t="str">
        <f>IFERROR(Inv_SY!S167/Inv_SY!$Y167-1,"")</f>
        <v/>
      </c>
      <c r="T165" s="55" t="str">
        <f>IFERROR(Inv_SY!T167/Inv_SY!$Y167-1,"")</f>
        <v/>
      </c>
      <c r="U165" s="55" t="str">
        <f>IFERROR(Inv_SY!U167/Inv_SY!$Y167-1,"")</f>
        <v/>
      </c>
      <c r="V165" s="55" t="str">
        <f>IFERROR(Inv_SY!J167/Inv_SY!$Z167-1,"")</f>
        <v/>
      </c>
      <c r="W165" s="55" t="str">
        <f>IFERROR(Inv_SY!K167/Inv_SY!$Z167-1,"")</f>
        <v/>
      </c>
      <c r="X165" s="55" t="str">
        <f>IFERROR(Inv_SY!L167/Inv_SY!$Z167-1,"")</f>
        <v/>
      </c>
      <c r="Y165" s="55" t="str">
        <f>IFERROR(Inv_SY!M167/Inv_SY!$Z167-1,"")</f>
        <v/>
      </c>
      <c r="Z165" s="55" t="str">
        <f>IFERROR(Inv_SY!N167/Inv_SY!$Z167-1,"")</f>
        <v/>
      </c>
      <c r="AA165" s="55" t="str">
        <f>IFERROR(Inv_SY!O167/Inv_SY!$Z167-1,"")</f>
        <v/>
      </c>
      <c r="AB165" s="55" t="str">
        <f>IFERROR(Inv_SY!P167/Inv_SY!$Z167-1,"")</f>
        <v/>
      </c>
      <c r="AC165" s="55" t="str">
        <f>IFERROR(Inv_SY!Q167/Inv_SY!$Z167-1,"")</f>
        <v/>
      </c>
      <c r="AD165" s="55" t="str">
        <f>IFERROR(Inv_SY!R167/Inv_SY!$Z167-1,"")</f>
        <v/>
      </c>
      <c r="AE165" s="55" t="str">
        <f>IFERROR(Inv_SY!S167/Inv_SY!$Z167-1,"")</f>
        <v/>
      </c>
      <c r="AF165" s="55" t="str">
        <f>IFERROR(Inv_SY!T167/Inv_SY!$Z167-1,"")</f>
        <v/>
      </c>
      <c r="AG165" s="55" t="str">
        <f>IFERROR(Inv_SY!U167/Inv_SY!$Z167-1,"")</f>
        <v/>
      </c>
      <c r="AH165" s="55" t="str">
        <f>IFERROR(Inv_SY!V167/Inv_SY!$Y167-1,"")</f>
        <v/>
      </c>
      <c r="AI165" s="55" t="str">
        <f>IFERROR(Inv_SY!W167/Inv_SY!$Y167-1,"")</f>
        <v/>
      </c>
      <c r="AJ165" s="55" t="str">
        <f>IFERROR(Inv_SY!X167/Inv_SY!$Y167-1,"")</f>
        <v/>
      </c>
      <c r="AK165" s="55" t="str">
        <f>IFERROR(Inv_SY!V167/Inv_SY!$Z167-1,"")</f>
        <v/>
      </c>
      <c r="AL165" s="55" t="str">
        <f>IFERROR(Inv_SY!W167/Inv_SY!$Z167-1,"")</f>
        <v/>
      </c>
      <c r="AM165" s="55" t="str">
        <f>IFERROR(Inv_SY!X167/Inv_SY!$Z167-1,"")</f>
        <v/>
      </c>
    </row>
    <row r="166" spans="1:39" x14ac:dyDescent="0.3">
      <c r="A166" s="273">
        <f>YEAR(Table5[[#This Row],[Date]])+IF(MONTH(Table5[[#This Row],[Date]])&gt;=4,1,0)</f>
        <v>2026</v>
      </c>
      <c r="B166" s="273"/>
      <c r="C166" s="273">
        <f>YEAR(Table5[[#This Row],[Date]])</f>
        <v>2025</v>
      </c>
      <c r="D166" s="273"/>
      <c r="E166" s="273"/>
      <c r="F166" s="274" t="str">
        <f>TEXT(Table5[[#This Row],[Date]],"mmm-yy")</f>
        <v>Sep-25</v>
      </c>
      <c r="G166" s="273">
        <f t="shared" si="7"/>
        <v>30</v>
      </c>
      <c r="H166" s="275">
        <f t="shared" si="8"/>
        <v>45909</v>
      </c>
      <c r="I166" s="273">
        <v>8.02</v>
      </c>
      <c r="J166" s="55" t="str">
        <f>IFERROR(Inv_SY!J168/Inv_SY!$Y168-1,"")</f>
        <v/>
      </c>
      <c r="K166" s="55" t="str">
        <f>IFERROR(Inv_SY!K168/Inv_SY!$Y168-1,"")</f>
        <v/>
      </c>
      <c r="L166" s="55" t="str">
        <f>IFERROR(Inv_SY!L168/Inv_SY!$Y168-1,"")</f>
        <v/>
      </c>
      <c r="M166" s="55" t="str">
        <f>IFERROR(Inv_SY!M168/Inv_SY!$Y168-1,"")</f>
        <v/>
      </c>
      <c r="N166" s="55" t="str">
        <f>IFERROR(Inv_SY!N168/Inv_SY!$Y168-1,"")</f>
        <v/>
      </c>
      <c r="O166" s="55" t="str">
        <f>IFERROR(Inv_SY!O168/Inv_SY!$Y168-1,"")</f>
        <v/>
      </c>
      <c r="P166" s="55" t="str">
        <f>IFERROR(Inv_SY!P168/Inv_SY!$Y168-1,"")</f>
        <v/>
      </c>
      <c r="Q166" s="55" t="str">
        <f>IFERROR(Inv_SY!Q168/Inv_SY!$Y168-1,"")</f>
        <v/>
      </c>
      <c r="R166" s="55" t="str">
        <f>IFERROR(Inv_SY!R168/Inv_SY!$Y168-1,"")</f>
        <v/>
      </c>
      <c r="S166" s="55" t="str">
        <f>IFERROR(Inv_SY!S168/Inv_SY!$Y168-1,"")</f>
        <v/>
      </c>
      <c r="T166" s="55" t="str">
        <f>IFERROR(Inv_SY!T168/Inv_SY!$Y168-1,"")</f>
        <v/>
      </c>
      <c r="U166" s="55" t="str">
        <f>IFERROR(Inv_SY!U168/Inv_SY!$Y168-1,"")</f>
        <v/>
      </c>
      <c r="V166" s="55" t="str">
        <f>IFERROR(Inv_SY!J168/Inv_SY!$Z168-1,"")</f>
        <v/>
      </c>
      <c r="W166" s="55" t="str">
        <f>IFERROR(Inv_SY!K168/Inv_SY!$Z168-1,"")</f>
        <v/>
      </c>
      <c r="X166" s="55" t="str">
        <f>IFERROR(Inv_SY!L168/Inv_SY!$Z168-1,"")</f>
        <v/>
      </c>
      <c r="Y166" s="55" t="str">
        <f>IFERROR(Inv_SY!M168/Inv_SY!$Z168-1,"")</f>
        <v/>
      </c>
      <c r="Z166" s="55" t="str">
        <f>IFERROR(Inv_SY!N168/Inv_SY!$Z168-1,"")</f>
        <v/>
      </c>
      <c r="AA166" s="55" t="str">
        <f>IFERROR(Inv_SY!O168/Inv_SY!$Z168-1,"")</f>
        <v/>
      </c>
      <c r="AB166" s="55" t="str">
        <f>IFERROR(Inv_SY!P168/Inv_SY!$Z168-1,"")</f>
        <v/>
      </c>
      <c r="AC166" s="55" t="str">
        <f>IFERROR(Inv_SY!Q168/Inv_SY!$Z168-1,"")</f>
        <v/>
      </c>
      <c r="AD166" s="55" t="str">
        <f>IFERROR(Inv_SY!R168/Inv_SY!$Z168-1,"")</f>
        <v/>
      </c>
      <c r="AE166" s="55" t="str">
        <f>IFERROR(Inv_SY!S168/Inv_SY!$Z168-1,"")</f>
        <v/>
      </c>
      <c r="AF166" s="55" t="str">
        <f>IFERROR(Inv_SY!T168/Inv_SY!$Z168-1,"")</f>
        <v/>
      </c>
      <c r="AG166" s="55" t="str">
        <f>IFERROR(Inv_SY!U168/Inv_SY!$Z168-1,"")</f>
        <v/>
      </c>
      <c r="AH166" s="55" t="str">
        <f>IFERROR(Inv_SY!V168/Inv_SY!$Y168-1,"")</f>
        <v/>
      </c>
      <c r="AI166" s="55" t="str">
        <f>IFERROR(Inv_SY!W168/Inv_SY!$Y168-1,"")</f>
        <v/>
      </c>
      <c r="AJ166" s="55" t="str">
        <f>IFERROR(Inv_SY!X168/Inv_SY!$Y168-1,"")</f>
        <v/>
      </c>
      <c r="AK166" s="55" t="str">
        <f>IFERROR(Inv_SY!V168/Inv_SY!$Z168-1,"")</f>
        <v/>
      </c>
      <c r="AL166" s="55" t="str">
        <f>IFERROR(Inv_SY!W168/Inv_SY!$Z168-1,"")</f>
        <v/>
      </c>
      <c r="AM166" s="55" t="str">
        <f>IFERROR(Inv_SY!X168/Inv_SY!$Z168-1,"")</f>
        <v/>
      </c>
    </row>
    <row r="167" spans="1:39" x14ac:dyDescent="0.3">
      <c r="A167" s="273">
        <f>YEAR(Table5[[#This Row],[Date]])+IF(MONTH(Table5[[#This Row],[Date]])&gt;=4,1,0)</f>
        <v>2026</v>
      </c>
      <c r="B167" s="273"/>
      <c r="C167" s="273">
        <f>YEAR(Table5[[#This Row],[Date]])</f>
        <v>2025</v>
      </c>
      <c r="D167" s="273"/>
      <c r="E167" s="273"/>
      <c r="F167" s="274" t="str">
        <f>TEXT(Table5[[#This Row],[Date]],"mmm-yy")</f>
        <v>Sep-25</v>
      </c>
      <c r="G167" s="273">
        <f t="shared" si="7"/>
        <v>30</v>
      </c>
      <c r="H167" s="275">
        <f t="shared" si="8"/>
        <v>45910</v>
      </c>
      <c r="I167" s="273">
        <v>8.02</v>
      </c>
      <c r="J167" s="55" t="str">
        <f>IFERROR(Inv_SY!J169/Inv_SY!$Y169-1,"")</f>
        <v/>
      </c>
      <c r="K167" s="55" t="str">
        <f>IFERROR(Inv_SY!K169/Inv_SY!$Y169-1,"")</f>
        <v/>
      </c>
      <c r="L167" s="55" t="str">
        <f>IFERROR(Inv_SY!L169/Inv_SY!$Y169-1,"")</f>
        <v/>
      </c>
      <c r="M167" s="55" t="str">
        <f>IFERROR(Inv_SY!M169/Inv_SY!$Y169-1,"")</f>
        <v/>
      </c>
      <c r="N167" s="55" t="str">
        <f>IFERROR(Inv_SY!N169/Inv_SY!$Y169-1,"")</f>
        <v/>
      </c>
      <c r="O167" s="55" t="str">
        <f>IFERROR(Inv_SY!O169/Inv_SY!$Y169-1,"")</f>
        <v/>
      </c>
      <c r="P167" s="55" t="str">
        <f>IFERROR(Inv_SY!P169/Inv_SY!$Y169-1,"")</f>
        <v/>
      </c>
      <c r="Q167" s="55" t="str">
        <f>IFERROR(Inv_SY!Q169/Inv_SY!$Y169-1,"")</f>
        <v/>
      </c>
      <c r="R167" s="55" t="str">
        <f>IFERROR(Inv_SY!R169/Inv_SY!$Y169-1,"")</f>
        <v/>
      </c>
      <c r="S167" s="55" t="str">
        <f>IFERROR(Inv_SY!S169/Inv_SY!$Y169-1,"")</f>
        <v/>
      </c>
      <c r="T167" s="55" t="str">
        <f>IFERROR(Inv_SY!T169/Inv_SY!$Y169-1,"")</f>
        <v/>
      </c>
      <c r="U167" s="55" t="str">
        <f>IFERROR(Inv_SY!U169/Inv_SY!$Y169-1,"")</f>
        <v/>
      </c>
      <c r="V167" s="55" t="str">
        <f>IFERROR(Inv_SY!J169/Inv_SY!$Z169-1,"")</f>
        <v/>
      </c>
      <c r="W167" s="55" t="str">
        <f>IFERROR(Inv_SY!K169/Inv_SY!$Z169-1,"")</f>
        <v/>
      </c>
      <c r="X167" s="55" t="str">
        <f>IFERROR(Inv_SY!L169/Inv_SY!$Z169-1,"")</f>
        <v/>
      </c>
      <c r="Y167" s="55" t="str">
        <f>IFERROR(Inv_SY!M169/Inv_SY!$Z169-1,"")</f>
        <v/>
      </c>
      <c r="Z167" s="55" t="str">
        <f>IFERROR(Inv_SY!N169/Inv_SY!$Z169-1,"")</f>
        <v/>
      </c>
      <c r="AA167" s="55" t="str">
        <f>IFERROR(Inv_SY!O169/Inv_SY!$Z169-1,"")</f>
        <v/>
      </c>
      <c r="AB167" s="55" t="str">
        <f>IFERROR(Inv_SY!P169/Inv_SY!$Z169-1,"")</f>
        <v/>
      </c>
      <c r="AC167" s="55" t="str">
        <f>IFERROR(Inv_SY!Q169/Inv_SY!$Z169-1,"")</f>
        <v/>
      </c>
      <c r="AD167" s="55" t="str">
        <f>IFERROR(Inv_SY!R169/Inv_SY!$Z169-1,"")</f>
        <v/>
      </c>
      <c r="AE167" s="55" t="str">
        <f>IFERROR(Inv_SY!S169/Inv_SY!$Z169-1,"")</f>
        <v/>
      </c>
      <c r="AF167" s="55" t="str">
        <f>IFERROR(Inv_SY!T169/Inv_SY!$Z169-1,"")</f>
        <v/>
      </c>
      <c r="AG167" s="55" t="str">
        <f>IFERROR(Inv_SY!U169/Inv_SY!$Z169-1,"")</f>
        <v/>
      </c>
      <c r="AH167" s="55" t="str">
        <f>IFERROR(Inv_SY!V169/Inv_SY!$Y169-1,"")</f>
        <v/>
      </c>
      <c r="AI167" s="55" t="str">
        <f>IFERROR(Inv_SY!W169/Inv_SY!$Y169-1,"")</f>
        <v/>
      </c>
      <c r="AJ167" s="55" t="str">
        <f>IFERROR(Inv_SY!X169/Inv_SY!$Y169-1,"")</f>
        <v/>
      </c>
      <c r="AK167" s="55" t="str">
        <f>IFERROR(Inv_SY!V169/Inv_SY!$Z169-1,"")</f>
        <v/>
      </c>
      <c r="AL167" s="55" t="str">
        <f>IFERROR(Inv_SY!W169/Inv_SY!$Z169-1,"")</f>
        <v/>
      </c>
      <c r="AM167" s="55" t="str">
        <f>IFERROR(Inv_SY!X169/Inv_SY!$Z169-1,"")</f>
        <v/>
      </c>
    </row>
    <row r="168" spans="1:39" x14ac:dyDescent="0.3">
      <c r="A168" s="273">
        <f>YEAR(Table5[[#This Row],[Date]])+IF(MONTH(Table5[[#This Row],[Date]])&gt;=4,1,0)</f>
        <v>2026</v>
      </c>
      <c r="B168" s="273"/>
      <c r="C168" s="273">
        <f>YEAR(Table5[[#This Row],[Date]])</f>
        <v>2025</v>
      </c>
      <c r="D168" s="273"/>
      <c r="E168" s="273"/>
      <c r="F168" s="274" t="str">
        <f>TEXT(Table5[[#This Row],[Date]],"mmm-yy")</f>
        <v>Sep-25</v>
      </c>
      <c r="G168" s="273">
        <f t="shared" si="7"/>
        <v>30</v>
      </c>
      <c r="H168" s="275">
        <f t="shared" si="8"/>
        <v>45911</v>
      </c>
      <c r="I168" s="273">
        <v>8.02</v>
      </c>
      <c r="J168" s="55" t="str">
        <f>IFERROR(Inv_SY!J170/Inv_SY!$Y170-1,"")</f>
        <v/>
      </c>
      <c r="K168" s="55" t="str">
        <f>IFERROR(Inv_SY!K170/Inv_SY!$Y170-1,"")</f>
        <v/>
      </c>
      <c r="L168" s="55" t="str">
        <f>IFERROR(Inv_SY!L170/Inv_SY!$Y170-1,"")</f>
        <v/>
      </c>
      <c r="M168" s="55" t="str">
        <f>IFERROR(Inv_SY!M170/Inv_SY!$Y170-1,"")</f>
        <v/>
      </c>
      <c r="N168" s="55" t="str">
        <f>IFERROR(Inv_SY!N170/Inv_SY!$Y170-1,"")</f>
        <v/>
      </c>
      <c r="O168" s="55" t="str">
        <f>IFERROR(Inv_SY!O170/Inv_SY!$Y170-1,"")</f>
        <v/>
      </c>
      <c r="P168" s="55" t="str">
        <f>IFERROR(Inv_SY!P170/Inv_SY!$Y170-1,"")</f>
        <v/>
      </c>
      <c r="Q168" s="55" t="str">
        <f>IFERROR(Inv_SY!Q170/Inv_SY!$Y170-1,"")</f>
        <v/>
      </c>
      <c r="R168" s="55" t="str">
        <f>IFERROR(Inv_SY!R170/Inv_SY!$Y170-1,"")</f>
        <v/>
      </c>
      <c r="S168" s="55" t="str">
        <f>IFERROR(Inv_SY!S170/Inv_SY!$Y170-1,"")</f>
        <v/>
      </c>
      <c r="T168" s="55" t="str">
        <f>IFERROR(Inv_SY!T170/Inv_SY!$Y170-1,"")</f>
        <v/>
      </c>
      <c r="U168" s="55" t="str">
        <f>IFERROR(Inv_SY!U170/Inv_SY!$Y170-1,"")</f>
        <v/>
      </c>
      <c r="V168" s="55" t="str">
        <f>IFERROR(Inv_SY!J170/Inv_SY!$Z170-1,"")</f>
        <v/>
      </c>
      <c r="W168" s="55" t="str">
        <f>IFERROR(Inv_SY!K170/Inv_SY!$Z170-1,"")</f>
        <v/>
      </c>
      <c r="X168" s="55" t="str">
        <f>IFERROR(Inv_SY!L170/Inv_SY!$Z170-1,"")</f>
        <v/>
      </c>
      <c r="Y168" s="55" t="str">
        <f>IFERROR(Inv_SY!M170/Inv_SY!$Z170-1,"")</f>
        <v/>
      </c>
      <c r="Z168" s="55" t="str">
        <f>IFERROR(Inv_SY!N170/Inv_SY!$Z170-1,"")</f>
        <v/>
      </c>
      <c r="AA168" s="55" t="str">
        <f>IFERROR(Inv_SY!O170/Inv_SY!$Z170-1,"")</f>
        <v/>
      </c>
      <c r="AB168" s="55" t="str">
        <f>IFERROR(Inv_SY!P170/Inv_SY!$Z170-1,"")</f>
        <v/>
      </c>
      <c r="AC168" s="55" t="str">
        <f>IFERROR(Inv_SY!Q170/Inv_SY!$Z170-1,"")</f>
        <v/>
      </c>
      <c r="AD168" s="55" t="str">
        <f>IFERROR(Inv_SY!R170/Inv_SY!$Z170-1,"")</f>
        <v/>
      </c>
      <c r="AE168" s="55" t="str">
        <f>IFERROR(Inv_SY!S170/Inv_SY!$Z170-1,"")</f>
        <v/>
      </c>
      <c r="AF168" s="55" t="str">
        <f>IFERROR(Inv_SY!T170/Inv_SY!$Z170-1,"")</f>
        <v/>
      </c>
      <c r="AG168" s="55" t="str">
        <f>IFERROR(Inv_SY!U170/Inv_SY!$Z170-1,"")</f>
        <v/>
      </c>
      <c r="AH168" s="55" t="str">
        <f>IFERROR(Inv_SY!V170/Inv_SY!$Y170-1,"")</f>
        <v/>
      </c>
      <c r="AI168" s="55" t="str">
        <f>IFERROR(Inv_SY!W170/Inv_SY!$Y170-1,"")</f>
        <v/>
      </c>
      <c r="AJ168" s="55" t="str">
        <f>IFERROR(Inv_SY!X170/Inv_SY!$Y170-1,"")</f>
        <v/>
      </c>
      <c r="AK168" s="55" t="str">
        <f>IFERROR(Inv_SY!V170/Inv_SY!$Z170-1,"")</f>
        <v/>
      </c>
      <c r="AL168" s="55" t="str">
        <f>IFERROR(Inv_SY!W170/Inv_SY!$Z170-1,"")</f>
        <v/>
      </c>
      <c r="AM168" s="55" t="str">
        <f>IFERROR(Inv_SY!X170/Inv_SY!$Z170-1,"")</f>
        <v/>
      </c>
    </row>
    <row r="169" spans="1:39" x14ac:dyDescent="0.3">
      <c r="A169" s="273">
        <f>YEAR(Table5[[#This Row],[Date]])+IF(MONTH(Table5[[#This Row],[Date]])&gt;=4,1,0)</f>
        <v>2026</v>
      </c>
      <c r="B169" s="273"/>
      <c r="C169" s="273">
        <f>YEAR(Table5[[#This Row],[Date]])</f>
        <v>2025</v>
      </c>
      <c r="D169" s="273"/>
      <c r="E169" s="273"/>
      <c r="F169" s="274" t="str">
        <f>TEXT(Table5[[#This Row],[Date]],"mmm-yy")</f>
        <v>Sep-25</v>
      </c>
      <c r="G169" s="273">
        <f t="shared" si="7"/>
        <v>30</v>
      </c>
      <c r="H169" s="275">
        <f t="shared" si="8"/>
        <v>45912</v>
      </c>
      <c r="I169" s="273">
        <v>8.02</v>
      </c>
      <c r="J169" s="55" t="str">
        <f>IFERROR(Inv_SY!J171/Inv_SY!$Y171-1,"")</f>
        <v/>
      </c>
      <c r="K169" s="55" t="str">
        <f>IFERROR(Inv_SY!K171/Inv_SY!$Y171-1,"")</f>
        <v/>
      </c>
      <c r="L169" s="55" t="str">
        <f>IFERROR(Inv_SY!L171/Inv_SY!$Y171-1,"")</f>
        <v/>
      </c>
      <c r="M169" s="55" t="str">
        <f>IFERROR(Inv_SY!M171/Inv_SY!$Y171-1,"")</f>
        <v/>
      </c>
      <c r="N169" s="55" t="str">
        <f>IFERROR(Inv_SY!N171/Inv_SY!$Y171-1,"")</f>
        <v/>
      </c>
      <c r="O169" s="55" t="str">
        <f>IFERROR(Inv_SY!O171/Inv_SY!$Y171-1,"")</f>
        <v/>
      </c>
      <c r="P169" s="55" t="str">
        <f>IFERROR(Inv_SY!P171/Inv_SY!$Y171-1,"")</f>
        <v/>
      </c>
      <c r="Q169" s="55" t="str">
        <f>IFERROR(Inv_SY!Q171/Inv_SY!$Y171-1,"")</f>
        <v/>
      </c>
      <c r="R169" s="55" t="str">
        <f>IFERROR(Inv_SY!R171/Inv_SY!$Y171-1,"")</f>
        <v/>
      </c>
      <c r="S169" s="55" t="str">
        <f>IFERROR(Inv_SY!S171/Inv_SY!$Y171-1,"")</f>
        <v/>
      </c>
      <c r="T169" s="55" t="str">
        <f>IFERROR(Inv_SY!T171/Inv_SY!$Y171-1,"")</f>
        <v/>
      </c>
      <c r="U169" s="55" t="str">
        <f>IFERROR(Inv_SY!U171/Inv_SY!$Y171-1,"")</f>
        <v/>
      </c>
      <c r="V169" s="55" t="str">
        <f>IFERROR(Inv_SY!J171/Inv_SY!$Z171-1,"")</f>
        <v/>
      </c>
      <c r="W169" s="55" t="str">
        <f>IFERROR(Inv_SY!K171/Inv_SY!$Z171-1,"")</f>
        <v/>
      </c>
      <c r="X169" s="55" t="str">
        <f>IFERROR(Inv_SY!L171/Inv_SY!$Z171-1,"")</f>
        <v/>
      </c>
      <c r="Y169" s="55" t="str">
        <f>IFERROR(Inv_SY!M171/Inv_SY!$Z171-1,"")</f>
        <v/>
      </c>
      <c r="Z169" s="55" t="str">
        <f>IFERROR(Inv_SY!N171/Inv_SY!$Z171-1,"")</f>
        <v/>
      </c>
      <c r="AA169" s="55" t="str">
        <f>IFERROR(Inv_SY!O171/Inv_SY!$Z171-1,"")</f>
        <v/>
      </c>
      <c r="AB169" s="55" t="str">
        <f>IFERROR(Inv_SY!P171/Inv_SY!$Z171-1,"")</f>
        <v/>
      </c>
      <c r="AC169" s="55" t="str">
        <f>IFERROR(Inv_SY!Q171/Inv_SY!$Z171-1,"")</f>
        <v/>
      </c>
      <c r="AD169" s="55" t="str">
        <f>IFERROR(Inv_SY!R171/Inv_SY!$Z171-1,"")</f>
        <v/>
      </c>
      <c r="AE169" s="55" t="str">
        <f>IFERROR(Inv_SY!S171/Inv_SY!$Z171-1,"")</f>
        <v/>
      </c>
      <c r="AF169" s="55" t="str">
        <f>IFERROR(Inv_SY!T171/Inv_SY!$Z171-1,"")</f>
        <v/>
      </c>
      <c r="AG169" s="55" t="str">
        <f>IFERROR(Inv_SY!U171/Inv_SY!$Z171-1,"")</f>
        <v/>
      </c>
      <c r="AH169" s="55" t="str">
        <f>IFERROR(Inv_SY!V171/Inv_SY!$Y171-1,"")</f>
        <v/>
      </c>
      <c r="AI169" s="55" t="str">
        <f>IFERROR(Inv_SY!W171/Inv_SY!$Y171-1,"")</f>
        <v/>
      </c>
      <c r="AJ169" s="55" t="str">
        <f>IFERROR(Inv_SY!X171/Inv_SY!$Y171-1,"")</f>
        <v/>
      </c>
      <c r="AK169" s="55" t="str">
        <f>IFERROR(Inv_SY!V171/Inv_SY!$Z171-1,"")</f>
        <v/>
      </c>
      <c r="AL169" s="55" t="str">
        <f>IFERROR(Inv_SY!W171/Inv_SY!$Z171-1,"")</f>
        <v/>
      </c>
      <c r="AM169" s="55" t="str">
        <f>IFERROR(Inv_SY!X171/Inv_SY!$Z171-1,"")</f>
        <v/>
      </c>
    </row>
    <row r="170" spans="1:39" x14ac:dyDescent="0.3">
      <c r="A170" s="273">
        <f>YEAR(Table5[[#This Row],[Date]])+IF(MONTH(Table5[[#This Row],[Date]])&gt;=4,1,0)</f>
        <v>2026</v>
      </c>
      <c r="B170" s="273"/>
      <c r="C170" s="273">
        <f>YEAR(Table5[[#This Row],[Date]])</f>
        <v>2025</v>
      </c>
      <c r="D170" s="273"/>
      <c r="E170" s="273"/>
      <c r="F170" s="274" t="str">
        <f>TEXT(Table5[[#This Row],[Date]],"mmm-yy")</f>
        <v>Sep-25</v>
      </c>
      <c r="G170" s="273">
        <f t="shared" si="7"/>
        <v>30</v>
      </c>
      <c r="H170" s="275">
        <f t="shared" si="8"/>
        <v>45913</v>
      </c>
      <c r="I170" s="273">
        <v>8.02</v>
      </c>
      <c r="J170" s="55" t="str">
        <f>IFERROR(Inv_SY!J172/Inv_SY!$Y172-1,"")</f>
        <v/>
      </c>
      <c r="K170" s="55" t="str">
        <f>IFERROR(Inv_SY!K172/Inv_SY!$Y172-1,"")</f>
        <v/>
      </c>
      <c r="L170" s="55" t="str">
        <f>IFERROR(Inv_SY!L172/Inv_SY!$Y172-1,"")</f>
        <v/>
      </c>
      <c r="M170" s="55" t="str">
        <f>IFERROR(Inv_SY!M172/Inv_SY!$Y172-1,"")</f>
        <v/>
      </c>
      <c r="N170" s="55" t="str">
        <f>IFERROR(Inv_SY!N172/Inv_SY!$Y172-1,"")</f>
        <v/>
      </c>
      <c r="O170" s="55" t="str">
        <f>IFERROR(Inv_SY!O172/Inv_SY!$Y172-1,"")</f>
        <v/>
      </c>
      <c r="P170" s="55" t="str">
        <f>IFERROR(Inv_SY!P172/Inv_SY!$Y172-1,"")</f>
        <v/>
      </c>
      <c r="Q170" s="55" t="str">
        <f>IFERROR(Inv_SY!Q172/Inv_SY!$Y172-1,"")</f>
        <v/>
      </c>
      <c r="R170" s="55" t="str">
        <f>IFERROR(Inv_SY!R172/Inv_SY!$Y172-1,"")</f>
        <v/>
      </c>
      <c r="S170" s="55" t="str">
        <f>IFERROR(Inv_SY!S172/Inv_SY!$Y172-1,"")</f>
        <v/>
      </c>
      <c r="T170" s="55" t="str">
        <f>IFERROR(Inv_SY!T172/Inv_SY!$Y172-1,"")</f>
        <v/>
      </c>
      <c r="U170" s="55" t="str">
        <f>IFERROR(Inv_SY!U172/Inv_SY!$Y172-1,"")</f>
        <v/>
      </c>
      <c r="V170" s="55" t="str">
        <f>IFERROR(Inv_SY!J172/Inv_SY!$Z172-1,"")</f>
        <v/>
      </c>
      <c r="W170" s="55" t="str">
        <f>IFERROR(Inv_SY!K172/Inv_SY!$Z172-1,"")</f>
        <v/>
      </c>
      <c r="X170" s="55" t="str">
        <f>IFERROR(Inv_SY!L172/Inv_SY!$Z172-1,"")</f>
        <v/>
      </c>
      <c r="Y170" s="55" t="str">
        <f>IFERROR(Inv_SY!M172/Inv_SY!$Z172-1,"")</f>
        <v/>
      </c>
      <c r="Z170" s="55" t="str">
        <f>IFERROR(Inv_SY!N172/Inv_SY!$Z172-1,"")</f>
        <v/>
      </c>
      <c r="AA170" s="55" t="str">
        <f>IFERROR(Inv_SY!O172/Inv_SY!$Z172-1,"")</f>
        <v/>
      </c>
      <c r="AB170" s="55" t="str">
        <f>IFERROR(Inv_SY!P172/Inv_SY!$Z172-1,"")</f>
        <v/>
      </c>
      <c r="AC170" s="55" t="str">
        <f>IFERROR(Inv_SY!Q172/Inv_SY!$Z172-1,"")</f>
        <v/>
      </c>
      <c r="AD170" s="55" t="str">
        <f>IFERROR(Inv_SY!R172/Inv_SY!$Z172-1,"")</f>
        <v/>
      </c>
      <c r="AE170" s="55" t="str">
        <f>IFERROR(Inv_SY!S172/Inv_SY!$Z172-1,"")</f>
        <v/>
      </c>
      <c r="AF170" s="55" t="str">
        <f>IFERROR(Inv_SY!T172/Inv_SY!$Z172-1,"")</f>
        <v/>
      </c>
      <c r="AG170" s="55" t="str">
        <f>IFERROR(Inv_SY!U172/Inv_SY!$Z172-1,"")</f>
        <v/>
      </c>
      <c r="AH170" s="55" t="str">
        <f>IFERROR(Inv_SY!V172/Inv_SY!$Y172-1,"")</f>
        <v/>
      </c>
      <c r="AI170" s="55" t="str">
        <f>IFERROR(Inv_SY!W172/Inv_SY!$Y172-1,"")</f>
        <v/>
      </c>
      <c r="AJ170" s="55" t="str">
        <f>IFERROR(Inv_SY!X172/Inv_SY!$Y172-1,"")</f>
        <v/>
      </c>
      <c r="AK170" s="55" t="str">
        <f>IFERROR(Inv_SY!V172/Inv_SY!$Z172-1,"")</f>
        <v/>
      </c>
      <c r="AL170" s="55" t="str">
        <f>IFERROR(Inv_SY!W172/Inv_SY!$Z172-1,"")</f>
        <v/>
      </c>
      <c r="AM170" s="55" t="str">
        <f>IFERROR(Inv_SY!X172/Inv_SY!$Z172-1,"")</f>
        <v/>
      </c>
    </row>
    <row r="171" spans="1:39" x14ac:dyDescent="0.3">
      <c r="A171" s="273">
        <f>YEAR(Table5[[#This Row],[Date]])+IF(MONTH(Table5[[#This Row],[Date]])&gt;=4,1,0)</f>
        <v>2026</v>
      </c>
      <c r="B171" s="273"/>
      <c r="C171" s="273">
        <f>YEAR(Table5[[#This Row],[Date]])</f>
        <v>2025</v>
      </c>
      <c r="D171" s="273"/>
      <c r="E171" s="273"/>
      <c r="F171" s="274" t="str">
        <f>TEXT(Table5[[#This Row],[Date]],"mmm-yy")</f>
        <v>Sep-25</v>
      </c>
      <c r="G171" s="273">
        <f t="shared" si="7"/>
        <v>30</v>
      </c>
      <c r="H171" s="275">
        <f t="shared" si="8"/>
        <v>45914</v>
      </c>
      <c r="I171" s="273">
        <v>8.02</v>
      </c>
      <c r="J171" s="55" t="str">
        <f>IFERROR(Inv_SY!J173/Inv_SY!$Y173-1,"")</f>
        <v/>
      </c>
      <c r="K171" s="55" t="str">
        <f>IFERROR(Inv_SY!K173/Inv_SY!$Y173-1,"")</f>
        <v/>
      </c>
      <c r="L171" s="55" t="str">
        <f>IFERROR(Inv_SY!L173/Inv_SY!$Y173-1,"")</f>
        <v/>
      </c>
      <c r="M171" s="55" t="str">
        <f>IFERROR(Inv_SY!M173/Inv_SY!$Y173-1,"")</f>
        <v/>
      </c>
      <c r="N171" s="55" t="str">
        <f>IFERROR(Inv_SY!N173/Inv_SY!$Y173-1,"")</f>
        <v/>
      </c>
      <c r="O171" s="55" t="str">
        <f>IFERROR(Inv_SY!O173/Inv_SY!$Y173-1,"")</f>
        <v/>
      </c>
      <c r="P171" s="55" t="str">
        <f>IFERROR(Inv_SY!P173/Inv_SY!$Y173-1,"")</f>
        <v/>
      </c>
      <c r="Q171" s="55" t="str">
        <f>IFERROR(Inv_SY!Q173/Inv_SY!$Y173-1,"")</f>
        <v/>
      </c>
      <c r="R171" s="55" t="str">
        <f>IFERROR(Inv_SY!R173/Inv_SY!$Y173-1,"")</f>
        <v/>
      </c>
      <c r="S171" s="55" t="str">
        <f>IFERROR(Inv_SY!S173/Inv_SY!$Y173-1,"")</f>
        <v/>
      </c>
      <c r="T171" s="55" t="str">
        <f>IFERROR(Inv_SY!T173/Inv_SY!$Y173-1,"")</f>
        <v/>
      </c>
      <c r="U171" s="55" t="str">
        <f>IFERROR(Inv_SY!U173/Inv_SY!$Y173-1,"")</f>
        <v/>
      </c>
      <c r="V171" s="55" t="str">
        <f>IFERROR(Inv_SY!J173/Inv_SY!$Z173-1,"")</f>
        <v/>
      </c>
      <c r="W171" s="55" t="str">
        <f>IFERROR(Inv_SY!K173/Inv_SY!$Z173-1,"")</f>
        <v/>
      </c>
      <c r="X171" s="55" t="str">
        <f>IFERROR(Inv_SY!L173/Inv_SY!$Z173-1,"")</f>
        <v/>
      </c>
      <c r="Y171" s="55" t="str">
        <f>IFERROR(Inv_SY!M173/Inv_SY!$Z173-1,"")</f>
        <v/>
      </c>
      <c r="Z171" s="55" t="str">
        <f>IFERROR(Inv_SY!N173/Inv_SY!$Z173-1,"")</f>
        <v/>
      </c>
      <c r="AA171" s="55" t="str">
        <f>IFERROR(Inv_SY!O173/Inv_SY!$Z173-1,"")</f>
        <v/>
      </c>
      <c r="AB171" s="55" t="str">
        <f>IFERROR(Inv_SY!P173/Inv_SY!$Z173-1,"")</f>
        <v/>
      </c>
      <c r="AC171" s="55" t="str">
        <f>IFERROR(Inv_SY!Q173/Inv_SY!$Z173-1,"")</f>
        <v/>
      </c>
      <c r="AD171" s="55" t="str">
        <f>IFERROR(Inv_SY!R173/Inv_SY!$Z173-1,"")</f>
        <v/>
      </c>
      <c r="AE171" s="55" t="str">
        <f>IFERROR(Inv_SY!S173/Inv_SY!$Z173-1,"")</f>
        <v/>
      </c>
      <c r="AF171" s="55" t="str">
        <f>IFERROR(Inv_SY!T173/Inv_SY!$Z173-1,"")</f>
        <v/>
      </c>
      <c r="AG171" s="55" t="str">
        <f>IFERROR(Inv_SY!U173/Inv_SY!$Z173-1,"")</f>
        <v/>
      </c>
      <c r="AH171" s="55" t="str">
        <f>IFERROR(Inv_SY!V173/Inv_SY!$Y173-1,"")</f>
        <v/>
      </c>
      <c r="AI171" s="55" t="str">
        <f>IFERROR(Inv_SY!W173/Inv_SY!$Y173-1,"")</f>
        <v/>
      </c>
      <c r="AJ171" s="55" t="str">
        <f>IFERROR(Inv_SY!X173/Inv_SY!$Y173-1,"")</f>
        <v/>
      </c>
      <c r="AK171" s="55" t="str">
        <f>IFERROR(Inv_SY!V173/Inv_SY!$Z173-1,"")</f>
        <v/>
      </c>
      <c r="AL171" s="55" t="str">
        <f>IFERROR(Inv_SY!W173/Inv_SY!$Z173-1,"")</f>
        <v/>
      </c>
      <c r="AM171" s="55" t="str">
        <f>IFERROR(Inv_SY!X173/Inv_SY!$Z173-1,"")</f>
        <v/>
      </c>
    </row>
    <row r="172" spans="1:39" x14ac:dyDescent="0.3">
      <c r="A172" s="273">
        <f>YEAR(Table5[[#This Row],[Date]])+IF(MONTH(Table5[[#This Row],[Date]])&gt;=4,1,0)</f>
        <v>2026</v>
      </c>
      <c r="B172" s="273"/>
      <c r="C172" s="273">
        <f>YEAR(Table5[[#This Row],[Date]])</f>
        <v>2025</v>
      </c>
      <c r="D172" s="273"/>
      <c r="E172" s="273"/>
      <c r="F172" s="274" t="str">
        <f>TEXT(Table5[[#This Row],[Date]],"mmm-yy")</f>
        <v>Sep-25</v>
      </c>
      <c r="G172" s="273">
        <f t="shared" si="7"/>
        <v>30</v>
      </c>
      <c r="H172" s="275">
        <f t="shared" si="8"/>
        <v>45915</v>
      </c>
      <c r="I172" s="273">
        <v>8.02</v>
      </c>
      <c r="J172" s="55" t="str">
        <f>IFERROR(Inv_SY!J174/Inv_SY!$Y174-1,"")</f>
        <v/>
      </c>
      <c r="K172" s="55" t="str">
        <f>IFERROR(Inv_SY!K174/Inv_SY!$Y174-1,"")</f>
        <v/>
      </c>
      <c r="L172" s="55" t="str">
        <f>IFERROR(Inv_SY!L174/Inv_SY!$Y174-1,"")</f>
        <v/>
      </c>
      <c r="M172" s="55" t="str">
        <f>IFERROR(Inv_SY!M174/Inv_SY!$Y174-1,"")</f>
        <v/>
      </c>
      <c r="N172" s="55" t="str">
        <f>IFERROR(Inv_SY!N174/Inv_SY!$Y174-1,"")</f>
        <v/>
      </c>
      <c r="O172" s="55" t="str">
        <f>IFERROR(Inv_SY!O174/Inv_SY!$Y174-1,"")</f>
        <v/>
      </c>
      <c r="P172" s="55" t="str">
        <f>IFERROR(Inv_SY!P174/Inv_SY!$Y174-1,"")</f>
        <v/>
      </c>
      <c r="Q172" s="55" t="str">
        <f>IFERROR(Inv_SY!Q174/Inv_SY!$Y174-1,"")</f>
        <v/>
      </c>
      <c r="R172" s="55" t="str">
        <f>IFERROR(Inv_SY!R174/Inv_SY!$Y174-1,"")</f>
        <v/>
      </c>
      <c r="S172" s="55" t="str">
        <f>IFERROR(Inv_SY!S174/Inv_SY!$Y174-1,"")</f>
        <v/>
      </c>
      <c r="T172" s="55" t="str">
        <f>IFERROR(Inv_SY!T174/Inv_SY!$Y174-1,"")</f>
        <v/>
      </c>
      <c r="U172" s="55" t="str">
        <f>IFERROR(Inv_SY!U174/Inv_SY!$Y174-1,"")</f>
        <v/>
      </c>
      <c r="V172" s="55" t="str">
        <f>IFERROR(Inv_SY!J174/Inv_SY!$Z174-1,"")</f>
        <v/>
      </c>
      <c r="W172" s="55" t="str">
        <f>IFERROR(Inv_SY!K174/Inv_SY!$Z174-1,"")</f>
        <v/>
      </c>
      <c r="X172" s="55" t="str">
        <f>IFERROR(Inv_SY!L174/Inv_SY!$Z174-1,"")</f>
        <v/>
      </c>
      <c r="Y172" s="55" t="str">
        <f>IFERROR(Inv_SY!M174/Inv_SY!$Z174-1,"")</f>
        <v/>
      </c>
      <c r="Z172" s="55" t="str">
        <f>IFERROR(Inv_SY!N174/Inv_SY!$Z174-1,"")</f>
        <v/>
      </c>
      <c r="AA172" s="55" t="str">
        <f>IFERROR(Inv_SY!O174/Inv_SY!$Z174-1,"")</f>
        <v/>
      </c>
      <c r="AB172" s="55" t="str">
        <f>IFERROR(Inv_SY!P174/Inv_SY!$Z174-1,"")</f>
        <v/>
      </c>
      <c r="AC172" s="55" t="str">
        <f>IFERROR(Inv_SY!Q174/Inv_SY!$Z174-1,"")</f>
        <v/>
      </c>
      <c r="AD172" s="55" t="str">
        <f>IFERROR(Inv_SY!R174/Inv_SY!$Z174-1,"")</f>
        <v/>
      </c>
      <c r="AE172" s="55" t="str">
        <f>IFERROR(Inv_SY!S174/Inv_SY!$Z174-1,"")</f>
        <v/>
      </c>
      <c r="AF172" s="55" t="str">
        <f>IFERROR(Inv_SY!T174/Inv_SY!$Z174-1,"")</f>
        <v/>
      </c>
      <c r="AG172" s="55" t="str">
        <f>IFERROR(Inv_SY!U174/Inv_SY!$Z174-1,"")</f>
        <v/>
      </c>
      <c r="AH172" s="55" t="str">
        <f>IFERROR(Inv_SY!V174/Inv_SY!$Y174-1,"")</f>
        <v/>
      </c>
      <c r="AI172" s="55" t="str">
        <f>IFERROR(Inv_SY!W174/Inv_SY!$Y174-1,"")</f>
        <v/>
      </c>
      <c r="AJ172" s="55" t="str">
        <f>IFERROR(Inv_SY!X174/Inv_SY!$Y174-1,"")</f>
        <v/>
      </c>
      <c r="AK172" s="55" t="str">
        <f>IFERROR(Inv_SY!V174/Inv_SY!$Z174-1,"")</f>
        <v/>
      </c>
      <c r="AL172" s="55" t="str">
        <f>IFERROR(Inv_SY!W174/Inv_SY!$Z174-1,"")</f>
        <v/>
      </c>
      <c r="AM172" s="55" t="str">
        <f>IFERROR(Inv_SY!X174/Inv_SY!$Z174-1,"")</f>
        <v/>
      </c>
    </row>
    <row r="173" spans="1:39" x14ac:dyDescent="0.3">
      <c r="A173" s="273">
        <f>YEAR(Table5[[#This Row],[Date]])+IF(MONTH(Table5[[#This Row],[Date]])&gt;=4,1,0)</f>
        <v>2026</v>
      </c>
      <c r="B173" s="273"/>
      <c r="C173" s="273">
        <f>YEAR(Table5[[#This Row],[Date]])</f>
        <v>2025</v>
      </c>
      <c r="D173" s="273"/>
      <c r="E173" s="273"/>
      <c r="F173" s="274" t="str">
        <f>TEXT(Table5[[#This Row],[Date]],"mmm-yy")</f>
        <v>Sep-25</v>
      </c>
      <c r="G173" s="273">
        <f t="shared" ref="G173:G236" si="9">DAY(EOMONTH(F173,0))</f>
        <v>30</v>
      </c>
      <c r="H173" s="275">
        <f t="shared" ref="H173:H236" si="10">H172+1</f>
        <v>45916</v>
      </c>
      <c r="I173" s="273">
        <v>8.02</v>
      </c>
      <c r="J173" s="55" t="str">
        <f>IFERROR(Inv_SY!J175/Inv_SY!$Y175-1,"")</f>
        <v/>
      </c>
      <c r="K173" s="55" t="str">
        <f>IFERROR(Inv_SY!K175/Inv_SY!$Y175-1,"")</f>
        <v/>
      </c>
      <c r="L173" s="55" t="str">
        <f>IFERROR(Inv_SY!L175/Inv_SY!$Y175-1,"")</f>
        <v/>
      </c>
      <c r="M173" s="55" t="str">
        <f>IFERROR(Inv_SY!M175/Inv_SY!$Y175-1,"")</f>
        <v/>
      </c>
      <c r="N173" s="55" t="str">
        <f>IFERROR(Inv_SY!N175/Inv_SY!$Y175-1,"")</f>
        <v/>
      </c>
      <c r="O173" s="55" t="str">
        <f>IFERROR(Inv_SY!O175/Inv_SY!$Y175-1,"")</f>
        <v/>
      </c>
      <c r="P173" s="55" t="str">
        <f>IFERROR(Inv_SY!P175/Inv_SY!$Y175-1,"")</f>
        <v/>
      </c>
      <c r="Q173" s="55" t="str">
        <f>IFERROR(Inv_SY!Q175/Inv_SY!$Y175-1,"")</f>
        <v/>
      </c>
      <c r="R173" s="55" t="str">
        <f>IFERROR(Inv_SY!R175/Inv_SY!$Y175-1,"")</f>
        <v/>
      </c>
      <c r="S173" s="55" t="str">
        <f>IFERROR(Inv_SY!S175/Inv_SY!$Y175-1,"")</f>
        <v/>
      </c>
      <c r="T173" s="55" t="str">
        <f>IFERROR(Inv_SY!T175/Inv_SY!$Y175-1,"")</f>
        <v/>
      </c>
      <c r="U173" s="55" t="str">
        <f>IFERROR(Inv_SY!U175/Inv_SY!$Y175-1,"")</f>
        <v/>
      </c>
      <c r="V173" s="55" t="str">
        <f>IFERROR(Inv_SY!J175/Inv_SY!$Z175-1,"")</f>
        <v/>
      </c>
      <c r="W173" s="55" t="str">
        <f>IFERROR(Inv_SY!K175/Inv_SY!$Z175-1,"")</f>
        <v/>
      </c>
      <c r="X173" s="55" t="str">
        <f>IFERROR(Inv_SY!L175/Inv_SY!$Z175-1,"")</f>
        <v/>
      </c>
      <c r="Y173" s="55" t="str">
        <f>IFERROR(Inv_SY!M175/Inv_SY!$Z175-1,"")</f>
        <v/>
      </c>
      <c r="Z173" s="55" t="str">
        <f>IFERROR(Inv_SY!N175/Inv_SY!$Z175-1,"")</f>
        <v/>
      </c>
      <c r="AA173" s="55" t="str">
        <f>IFERROR(Inv_SY!O175/Inv_SY!$Z175-1,"")</f>
        <v/>
      </c>
      <c r="AB173" s="55" t="str">
        <f>IFERROR(Inv_SY!P175/Inv_SY!$Z175-1,"")</f>
        <v/>
      </c>
      <c r="AC173" s="55" t="str">
        <f>IFERROR(Inv_SY!Q175/Inv_SY!$Z175-1,"")</f>
        <v/>
      </c>
      <c r="AD173" s="55" t="str">
        <f>IFERROR(Inv_SY!R175/Inv_SY!$Z175-1,"")</f>
        <v/>
      </c>
      <c r="AE173" s="55" t="str">
        <f>IFERROR(Inv_SY!S175/Inv_SY!$Z175-1,"")</f>
        <v/>
      </c>
      <c r="AF173" s="55" t="str">
        <f>IFERROR(Inv_SY!T175/Inv_SY!$Z175-1,"")</f>
        <v/>
      </c>
      <c r="AG173" s="55" t="str">
        <f>IFERROR(Inv_SY!U175/Inv_SY!$Z175-1,"")</f>
        <v/>
      </c>
      <c r="AH173" s="55" t="str">
        <f>IFERROR(Inv_SY!V175/Inv_SY!$Y175-1,"")</f>
        <v/>
      </c>
      <c r="AI173" s="55" t="str">
        <f>IFERROR(Inv_SY!W175/Inv_SY!$Y175-1,"")</f>
        <v/>
      </c>
      <c r="AJ173" s="55" t="str">
        <f>IFERROR(Inv_SY!X175/Inv_SY!$Y175-1,"")</f>
        <v/>
      </c>
      <c r="AK173" s="55" t="str">
        <f>IFERROR(Inv_SY!V175/Inv_SY!$Z175-1,"")</f>
        <v/>
      </c>
      <c r="AL173" s="55" t="str">
        <f>IFERROR(Inv_SY!W175/Inv_SY!$Z175-1,"")</f>
        <v/>
      </c>
      <c r="AM173" s="55" t="str">
        <f>IFERROR(Inv_SY!X175/Inv_SY!$Z175-1,"")</f>
        <v/>
      </c>
    </row>
    <row r="174" spans="1:39" x14ac:dyDescent="0.3">
      <c r="A174" s="273">
        <f>YEAR(Table5[[#This Row],[Date]])+IF(MONTH(Table5[[#This Row],[Date]])&gt;=4,1,0)</f>
        <v>2026</v>
      </c>
      <c r="B174" s="273"/>
      <c r="C174" s="273">
        <f>YEAR(Table5[[#This Row],[Date]])</f>
        <v>2025</v>
      </c>
      <c r="D174" s="273"/>
      <c r="E174" s="273"/>
      <c r="F174" s="274" t="str">
        <f>TEXT(Table5[[#This Row],[Date]],"mmm-yy")</f>
        <v>Sep-25</v>
      </c>
      <c r="G174" s="273">
        <f t="shared" si="9"/>
        <v>30</v>
      </c>
      <c r="H174" s="275">
        <f t="shared" si="10"/>
        <v>45917</v>
      </c>
      <c r="I174" s="273">
        <v>8.02</v>
      </c>
      <c r="J174" s="55" t="str">
        <f>IFERROR(Inv_SY!J176/Inv_SY!$Y176-1,"")</f>
        <v/>
      </c>
      <c r="K174" s="55" t="str">
        <f>IFERROR(Inv_SY!K176/Inv_SY!$Y176-1,"")</f>
        <v/>
      </c>
      <c r="L174" s="55" t="str">
        <f>IFERROR(Inv_SY!L176/Inv_SY!$Y176-1,"")</f>
        <v/>
      </c>
      <c r="M174" s="55" t="str">
        <f>IFERROR(Inv_SY!M176/Inv_SY!$Y176-1,"")</f>
        <v/>
      </c>
      <c r="N174" s="55" t="str">
        <f>IFERROR(Inv_SY!N176/Inv_SY!$Y176-1,"")</f>
        <v/>
      </c>
      <c r="O174" s="55" t="str">
        <f>IFERROR(Inv_SY!O176/Inv_SY!$Y176-1,"")</f>
        <v/>
      </c>
      <c r="P174" s="55" t="str">
        <f>IFERROR(Inv_SY!P176/Inv_SY!$Y176-1,"")</f>
        <v/>
      </c>
      <c r="Q174" s="55" t="str">
        <f>IFERROR(Inv_SY!Q176/Inv_SY!$Y176-1,"")</f>
        <v/>
      </c>
      <c r="R174" s="55" t="str">
        <f>IFERROR(Inv_SY!R176/Inv_SY!$Y176-1,"")</f>
        <v/>
      </c>
      <c r="S174" s="55" t="str">
        <f>IFERROR(Inv_SY!S176/Inv_SY!$Y176-1,"")</f>
        <v/>
      </c>
      <c r="T174" s="55" t="str">
        <f>IFERROR(Inv_SY!T176/Inv_SY!$Y176-1,"")</f>
        <v/>
      </c>
      <c r="U174" s="55" t="str">
        <f>IFERROR(Inv_SY!U176/Inv_SY!$Y176-1,"")</f>
        <v/>
      </c>
      <c r="V174" s="55" t="str">
        <f>IFERROR(Inv_SY!J176/Inv_SY!$Z176-1,"")</f>
        <v/>
      </c>
      <c r="W174" s="55" t="str">
        <f>IFERROR(Inv_SY!K176/Inv_SY!$Z176-1,"")</f>
        <v/>
      </c>
      <c r="X174" s="55" t="str">
        <f>IFERROR(Inv_SY!L176/Inv_SY!$Z176-1,"")</f>
        <v/>
      </c>
      <c r="Y174" s="55" t="str">
        <f>IFERROR(Inv_SY!M176/Inv_SY!$Z176-1,"")</f>
        <v/>
      </c>
      <c r="Z174" s="55" t="str">
        <f>IFERROR(Inv_SY!N176/Inv_SY!$Z176-1,"")</f>
        <v/>
      </c>
      <c r="AA174" s="55" t="str">
        <f>IFERROR(Inv_SY!O176/Inv_SY!$Z176-1,"")</f>
        <v/>
      </c>
      <c r="AB174" s="55" t="str">
        <f>IFERROR(Inv_SY!P176/Inv_SY!$Z176-1,"")</f>
        <v/>
      </c>
      <c r="AC174" s="55" t="str">
        <f>IFERROR(Inv_SY!Q176/Inv_SY!$Z176-1,"")</f>
        <v/>
      </c>
      <c r="AD174" s="55" t="str">
        <f>IFERROR(Inv_SY!R176/Inv_SY!$Z176-1,"")</f>
        <v/>
      </c>
      <c r="AE174" s="55" t="str">
        <f>IFERROR(Inv_SY!S176/Inv_SY!$Z176-1,"")</f>
        <v/>
      </c>
      <c r="AF174" s="55" t="str">
        <f>IFERROR(Inv_SY!T176/Inv_SY!$Z176-1,"")</f>
        <v/>
      </c>
      <c r="AG174" s="55" t="str">
        <f>IFERROR(Inv_SY!U176/Inv_SY!$Z176-1,"")</f>
        <v/>
      </c>
      <c r="AH174" s="55" t="str">
        <f>IFERROR(Inv_SY!V176/Inv_SY!$Y176-1,"")</f>
        <v/>
      </c>
      <c r="AI174" s="55" t="str">
        <f>IFERROR(Inv_SY!W176/Inv_SY!$Y176-1,"")</f>
        <v/>
      </c>
      <c r="AJ174" s="55" t="str">
        <f>IFERROR(Inv_SY!X176/Inv_SY!$Y176-1,"")</f>
        <v/>
      </c>
      <c r="AK174" s="55" t="str">
        <f>IFERROR(Inv_SY!V176/Inv_SY!$Z176-1,"")</f>
        <v/>
      </c>
      <c r="AL174" s="55" t="str">
        <f>IFERROR(Inv_SY!W176/Inv_SY!$Z176-1,"")</f>
        <v/>
      </c>
      <c r="AM174" s="55" t="str">
        <f>IFERROR(Inv_SY!X176/Inv_SY!$Z176-1,"")</f>
        <v/>
      </c>
    </row>
    <row r="175" spans="1:39" x14ac:dyDescent="0.3">
      <c r="A175" s="273">
        <f>YEAR(Table5[[#This Row],[Date]])+IF(MONTH(Table5[[#This Row],[Date]])&gt;=4,1,0)</f>
        <v>2026</v>
      </c>
      <c r="B175" s="273"/>
      <c r="C175" s="273">
        <f>YEAR(Table5[[#This Row],[Date]])</f>
        <v>2025</v>
      </c>
      <c r="D175" s="273"/>
      <c r="E175" s="273"/>
      <c r="F175" s="274" t="str">
        <f>TEXT(Table5[[#This Row],[Date]],"mmm-yy")</f>
        <v>Sep-25</v>
      </c>
      <c r="G175" s="273">
        <f t="shared" si="9"/>
        <v>30</v>
      </c>
      <c r="H175" s="275">
        <f t="shared" si="10"/>
        <v>45918</v>
      </c>
      <c r="I175" s="273">
        <v>8.02</v>
      </c>
      <c r="J175" s="55" t="str">
        <f>IFERROR(Inv_SY!J177/Inv_SY!$Y177-1,"")</f>
        <v/>
      </c>
      <c r="K175" s="55" t="str">
        <f>IFERROR(Inv_SY!K177/Inv_SY!$Y177-1,"")</f>
        <v/>
      </c>
      <c r="L175" s="55" t="str">
        <f>IFERROR(Inv_SY!L177/Inv_SY!$Y177-1,"")</f>
        <v/>
      </c>
      <c r="M175" s="55" t="str">
        <f>IFERROR(Inv_SY!M177/Inv_SY!$Y177-1,"")</f>
        <v/>
      </c>
      <c r="N175" s="55" t="str">
        <f>IFERROR(Inv_SY!N177/Inv_SY!$Y177-1,"")</f>
        <v/>
      </c>
      <c r="O175" s="55" t="str">
        <f>IFERROR(Inv_SY!O177/Inv_SY!$Y177-1,"")</f>
        <v/>
      </c>
      <c r="P175" s="55" t="str">
        <f>IFERROR(Inv_SY!P177/Inv_SY!$Y177-1,"")</f>
        <v/>
      </c>
      <c r="Q175" s="55" t="str">
        <f>IFERROR(Inv_SY!Q177/Inv_SY!$Y177-1,"")</f>
        <v/>
      </c>
      <c r="R175" s="55" t="str">
        <f>IFERROR(Inv_SY!R177/Inv_SY!$Y177-1,"")</f>
        <v/>
      </c>
      <c r="S175" s="55" t="str">
        <f>IFERROR(Inv_SY!S177/Inv_SY!$Y177-1,"")</f>
        <v/>
      </c>
      <c r="T175" s="55" t="str">
        <f>IFERROR(Inv_SY!T177/Inv_SY!$Y177-1,"")</f>
        <v/>
      </c>
      <c r="U175" s="55" t="str">
        <f>IFERROR(Inv_SY!U177/Inv_SY!$Y177-1,"")</f>
        <v/>
      </c>
      <c r="V175" s="55" t="str">
        <f>IFERROR(Inv_SY!J177/Inv_SY!$Z177-1,"")</f>
        <v/>
      </c>
      <c r="W175" s="55" t="str">
        <f>IFERROR(Inv_SY!K177/Inv_SY!$Z177-1,"")</f>
        <v/>
      </c>
      <c r="X175" s="55" t="str">
        <f>IFERROR(Inv_SY!L177/Inv_SY!$Z177-1,"")</f>
        <v/>
      </c>
      <c r="Y175" s="55" t="str">
        <f>IFERROR(Inv_SY!M177/Inv_SY!$Z177-1,"")</f>
        <v/>
      </c>
      <c r="Z175" s="55" t="str">
        <f>IFERROR(Inv_SY!N177/Inv_SY!$Z177-1,"")</f>
        <v/>
      </c>
      <c r="AA175" s="55" t="str">
        <f>IFERROR(Inv_SY!O177/Inv_SY!$Z177-1,"")</f>
        <v/>
      </c>
      <c r="AB175" s="55" t="str">
        <f>IFERROR(Inv_SY!P177/Inv_SY!$Z177-1,"")</f>
        <v/>
      </c>
      <c r="AC175" s="55" t="str">
        <f>IFERROR(Inv_SY!Q177/Inv_SY!$Z177-1,"")</f>
        <v/>
      </c>
      <c r="AD175" s="55" t="str">
        <f>IFERROR(Inv_SY!R177/Inv_SY!$Z177-1,"")</f>
        <v/>
      </c>
      <c r="AE175" s="55" t="str">
        <f>IFERROR(Inv_SY!S177/Inv_SY!$Z177-1,"")</f>
        <v/>
      </c>
      <c r="AF175" s="55" t="str">
        <f>IFERROR(Inv_SY!T177/Inv_SY!$Z177-1,"")</f>
        <v/>
      </c>
      <c r="AG175" s="55" t="str">
        <f>IFERROR(Inv_SY!U177/Inv_SY!$Z177-1,"")</f>
        <v/>
      </c>
      <c r="AH175" s="55" t="str">
        <f>IFERROR(Inv_SY!V177/Inv_SY!$Y177-1,"")</f>
        <v/>
      </c>
      <c r="AI175" s="55" t="str">
        <f>IFERROR(Inv_SY!W177/Inv_SY!$Y177-1,"")</f>
        <v/>
      </c>
      <c r="AJ175" s="55" t="str">
        <f>IFERROR(Inv_SY!X177/Inv_SY!$Y177-1,"")</f>
        <v/>
      </c>
      <c r="AK175" s="55" t="str">
        <f>IFERROR(Inv_SY!V177/Inv_SY!$Z177-1,"")</f>
        <v/>
      </c>
      <c r="AL175" s="55" t="str">
        <f>IFERROR(Inv_SY!W177/Inv_SY!$Z177-1,"")</f>
        <v/>
      </c>
      <c r="AM175" s="55" t="str">
        <f>IFERROR(Inv_SY!X177/Inv_SY!$Z177-1,"")</f>
        <v/>
      </c>
    </row>
    <row r="176" spans="1:39" x14ac:dyDescent="0.3">
      <c r="A176" s="273">
        <f>YEAR(Table5[[#This Row],[Date]])+IF(MONTH(Table5[[#This Row],[Date]])&gt;=4,1,0)</f>
        <v>2026</v>
      </c>
      <c r="B176" s="273"/>
      <c r="C176" s="273">
        <f>YEAR(Table5[[#This Row],[Date]])</f>
        <v>2025</v>
      </c>
      <c r="D176" s="273"/>
      <c r="E176" s="273"/>
      <c r="F176" s="274" t="str">
        <f>TEXT(Table5[[#This Row],[Date]],"mmm-yy")</f>
        <v>Sep-25</v>
      </c>
      <c r="G176" s="273">
        <f t="shared" si="9"/>
        <v>30</v>
      </c>
      <c r="H176" s="275">
        <f t="shared" si="10"/>
        <v>45919</v>
      </c>
      <c r="I176" s="273">
        <v>8.02</v>
      </c>
      <c r="J176" s="55" t="str">
        <f>IFERROR(Inv_SY!J178/Inv_SY!$Y178-1,"")</f>
        <v/>
      </c>
      <c r="K176" s="55" t="str">
        <f>IFERROR(Inv_SY!K178/Inv_SY!$Y178-1,"")</f>
        <v/>
      </c>
      <c r="L176" s="55" t="str">
        <f>IFERROR(Inv_SY!L178/Inv_SY!$Y178-1,"")</f>
        <v/>
      </c>
      <c r="M176" s="55" t="str">
        <f>IFERROR(Inv_SY!M178/Inv_SY!$Y178-1,"")</f>
        <v/>
      </c>
      <c r="N176" s="55" t="str">
        <f>IFERROR(Inv_SY!N178/Inv_SY!$Y178-1,"")</f>
        <v/>
      </c>
      <c r="O176" s="55" t="str">
        <f>IFERROR(Inv_SY!O178/Inv_SY!$Y178-1,"")</f>
        <v/>
      </c>
      <c r="P176" s="55" t="str">
        <f>IFERROR(Inv_SY!P178/Inv_SY!$Y178-1,"")</f>
        <v/>
      </c>
      <c r="Q176" s="55" t="str">
        <f>IFERROR(Inv_SY!Q178/Inv_SY!$Y178-1,"")</f>
        <v/>
      </c>
      <c r="R176" s="55" t="str">
        <f>IFERROR(Inv_SY!R178/Inv_SY!$Y178-1,"")</f>
        <v/>
      </c>
      <c r="S176" s="55" t="str">
        <f>IFERROR(Inv_SY!S178/Inv_SY!$Y178-1,"")</f>
        <v/>
      </c>
      <c r="T176" s="55" t="str">
        <f>IFERROR(Inv_SY!T178/Inv_SY!$Y178-1,"")</f>
        <v/>
      </c>
      <c r="U176" s="55" t="str">
        <f>IFERROR(Inv_SY!U178/Inv_SY!$Y178-1,"")</f>
        <v/>
      </c>
      <c r="V176" s="55" t="str">
        <f>IFERROR(Inv_SY!J178/Inv_SY!$Z178-1,"")</f>
        <v/>
      </c>
      <c r="W176" s="55" t="str">
        <f>IFERROR(Inv_SY!K178/Inv_SY!$Z178-1,"")</f>
        <v/>
      </c>
      <c r="X176" s="55" t="str">
        <f>IFERROR(Inv_SY!L178/Inv_SY!$Z178-1,"")</f>
        <v/>
      </c>
      <c r="Y176" s="55" t="str">
        <f>IFERROR(Inv_SY!M178/Inv_SY!$Z178-1,"")</f>
        <v/>
      </c>
      <c r="Z176" s="55" t="str">
        <f>IFERROR(Inv_SY!N178/Inv_SY!$Z178-1,"")</f>
        <v/>
      </c>
      <c r="AA176" s="55" t="str">
        <f>IFERROR(Inv_SY!O178/Inv_SY!$Z178-1,"")</f>
        <v/>
      </c>
      <c r="AB176" s="55" t="str">
        <f>IFERROR(Inv_SY!P178/Inv_SY!$Z178-1,"")</f>
        <v/>
      </c>
      <c r="AC176" s="55" t="str">
        <f>IFERROR(Inv_SY!Q178/Inv_SY!$Z178-1,"")</f>
        <v/>
      </c>
      <c r="AD176" s="55" t="str">
        <f>IFERROR(Inv_SY!R178/Inv_SY!$Z178-1,"")</f>
        <v/>
      </c>
      <c r="AE176" s="55" t="str">
        <f>IFERROR(Inv_SY!S178/Inv_SY!$Z178-1,"")</f>
        <v/>
      </c>
      <c r="AF176" s="55" t="str">
        <f>IFERROR(Inv_SY!T178/Inv_SY!$Z178-1,"")</f>
        <v/>
      </c>
      <c r="AG176" s="55" t="str">
        <f>IFERROR(Inv_SY!U178/Inv_SY!$Z178-1,"")</f>
        <v/>
      </c>
      <c r="AH176" s="55" t="str">
        <f>IFERROR(Inv_SY!V178/Inv_SY!$Y178-1,"")</f>
        <v/>
      </c>
      <c r="AI176" s="55" t="str">
        <f>IFERROR(Inv_SY!W178/Inv_SY!$Y178-1,"")</f>
        <v/>
      </c>
      <c r="AJ176" s="55" t="str">
        <f>IFERROR(Inv_SY!X178/Inv_SY!$Y178-1,"")</f>
        <v/>
      </c>
      <c r="AK176" s="55" t="str">
        <f>IFERROR(Inv_SY!V178/Inv_SY!$Z178-1,"")</f>
        <v/>
      </c>
      <c r="AL176" s="55" t="str">
        <f>IFERROR(Inv_SY!W178/Inv_SY!$Z178-1,"")</f>
        <v/>
      </c>
      <c r="AM176" s="55" t="str">
        <f>IFERROR(Inv_SY!X178/Inv_SY!$Z178-1,"")</f>
        <v/>
      </c>
    </row>
    <row r="177" spans="1:39" x14ac:dyDescent="0.3">
      <c r="A177" s="273">
        <f>YEAR(Table5[[#This Row],[Date]])+IF(MONTH(Table5[[#This Row],[Date]])&gt;=4,1,0)</f>
        <v>2026</v>
      </c>
      <c r="B177" s="273"/>
      <c r="C177" s="273">
        <f>YEAR(Table5[[#This Row],[Date]])</f>
        <v>2025</v>
      </c>
      <c r="D177" s="273"/>
      <c r="E177" s="273"/>
      <c r="F177" s="274" t="str">
        <f>TEXT(Table5[[#This Row],[Date]],"mmm-yy")</f>
        <v>Sep-25</v>
      </c>
      <c r="G177" s="273">
        <f t="shared" si="9"/>
        <v>30</v>
      </c>
      <c r="H177" s="275">
        <f t="shared" si="10"/>
        <v>45920</v>
      </c>
      <c r="I177" s="273">
        <v>8.02</v>
      </c>
      <c r="J177" s="55" t="str">
        <f>IFERROR(Inv_SY!J179/Inv_SY!$Y179-1,"")</f>
        <v/>
      </c>
      <c r="K177" s="55" t="str">
        <f>IFERROR(Inv_SY!K179/Inv_SY!$Y179-1,"")</f>
        <v/>
      </c>
      <c r="L177" s="55" t="str">
        <f>IFERROR(Inv_SY!L179/Inv_SY!$Y179-1,"")</f>
        <v/>
      </c>
      <c r="M177" s="55" t="str">
        <f>IFERROR(Inv_SY!M179/Inv_SY!$Y179-1,"")</f>
        <v/>
      </c>
      <c r="N177" s="55" t="str">
        <f>IFERROR(Inv_SY!N179/Inv_SY!$Y179-1,"")</f>
        <v/>
      </c>
      <c r="O177" s="55" t="str">
        <f>IFERROR(Inv_SY!O179/Inv_SY!$Y179-1,"")</f>
        <v/>
      </c>
      <c r="P177" s="55" t="str">
        <f>IFERROR(Inv_SY!P179/Inv_SY!$Y179-1,"")</f>
        <v/>
      </c>
      <c r="Q177" s="55" t="str">
        <f>IFERROR(Inv_SY!Q179/Inv_SY!$Y179-1,"")</f>
        <v/>
      </c>
      <c r="R177" s="55" t="str">
        <f>IFERROR(Inv_SY!R179/Inv_SY!$Y179-1,"")</f>
        <v/>
      </c>
      <c r="S177" s="55" t="str">
        <f>IFERROR(Inv_SY!S179/Inv_SY!$Y179-1,"")</f>
        <v/>
      </c>
      <c r="T177" s="55" t="str">
        <f>IFERROR(Inv_SY!T179/Inv_SY!$Y179-1,"")</f>
        <v/>
      </c>
      <c r="U177" s="55" t="str">
        <f>IFERROR(Inv_SY!U179/Inv_SY!$Y179-1,"")</f>
        <v/>
      </c>
      <c r="V177" s="55" t="str">
        <f>IFERROR(Inv_SY!J179/Inv_SY!$Z179-1,"")</f>
        <v/>
      </c>
      <c r="W177" s="55" t="str">
        <f>IFERROR(Inv_SY!K179/Inv_SY!$Z179-1,"")</f>
        <v/>
      </c>
      <c r="X177" s="55" t="str">
        <f>IFERROR(Inv_SY!L179/Inv_SY!$Z179-1,"")</f>
        <v/>
      </c>
      <c r="Y177" s="55" t="str">
        <f>IFERROR(Inv_SY!M179/Inv_SY!$Z179-1,"")</f>
        <v/>
      </c>
      <c r="Z177" s="55" t="str">
        <f>IFERROR(Inv_SY!N179/Inv_SY!$Z179-1,"")</f>
        <v/>
      </c>
      <c r="AA177" s="55" t="str">
        <f>IFERROR(Inv_SY!O179/Inv_SY!$Z179-1,"")</f>
        <v/>
      </c>
      <c r="AB177" s="55" t="str">
        <f>IFERROR(Inv_SY!P179/Inv_SY!$Z179-1,"")</f>
        <v/>
      </c>
      <c r="AC177" s="55" t="str">
        <f>IFERROR(Inv_SY!Q179/Inv_SY!$Z179-1,"")</f>
        <v/>
      </c>
      <c r="AD177" s="55" t="str">
        <f>IFERROR(Inv_SY!R179/Inv_SY!$Z179-1,"")</f>
        <v/>
      </c>
      <c r="AE177" s="55" t="str">
        <f>IFERROR(Inv_SY!S179/Inv_SY!$Z179-1,"")</f>
        <v/>
      </c>
      <c r="AF177" s="55" t="str">
        <f>IFERROR(Inv_SY!T179/Inv_SY!$Z179-1,"")</f>
        <v/>
      </c>
      <c r="AG177" s="55" t="str">
        <f>IFERROR(Inv_SY!U179/Inv_SY!$Z179-1,"")</f>
        <v/>
      </c>
      <c r="AH177" s="55" t="str">
        <f>IFERROR(Inv_SY!V179/Inv_SY!$Y179-1,"")</f>
        <v/>
      </c>
      <c r="AI177" s="55" t="str">
        <f>IFERROR(Inv_SY!W179/Inv_SY!$Y179-1,"")</f>
        <v/>
      </c>
      <c r="AJ177" s="55" t="str">
        <f>IFERROR(Inv_SY!X179/Inv_SY!$Y179-1,"")</f>
        <v/>
      </c>
      <c r="AK177" s="55" t="str">
        <f>IFERROR(Inv_SY!V179/Inv_SY!$Z179-1,"")</f>
        <v/>
      </c>
      <c r="AL177" s="55" t="str">
        <f>IFERROR(Inv_SY!W179/Inv_SY!$Z179-1,"")</f>
        <v/>
      </c>
      <c r="AM177" s="55" t="str">
        <f>IFERROR(Inv_SY!X179/Inv_SY!$Z179-1,"")</f>
        <v/>
      </c>
    </row>
    <row r="178" spans="1:39" x14ac:dyDescent="0.3">
      <c r="A178" s="273">
        <f>YEAR(Table5[[#This Row],[Date]])+IF(MONTH(Table5[[#This Row],[Date]])&gt;=4,1,0)</f>
        <v>2026</v>
      </c>
      <c r="B178" s="273"/>
      <c r="C178" s="273">
        <f>YEAR(Table5[[#This Row],[Date]])</f>
        <v>2025</v>
      </c>
      <c r="D178" s="273"/>
      <c r="E178" s="273"/>
      <c r="F178" s="274" t="str">
        <f>TEXT(Table5[[#This Row],[Date]],"mmm-yy")</f>
        <v>Sep-25</v>
      </c>
      <c r="G178" s="273">
        <f t="shared" si="9"/>
        <v>30</v>
      </c>
      <c r="H178" s="275">
        <f t="shared" si="10"/>
        <v>45921</v>
      </c>
      <c r="I178" s="273">
        <v>8.02</v>
      </c>
      <c r="J178" s="55" t="str">
        <f>IFERROR(Inv_SY!J180/Inv_SY!$Y180-1,"")</f>
        <v/>
      </c>
      <c r="K178" s="55" t="str">
        <f>IFERROR(Inv_SY!K180/Inv_SY!$Y180-1,"")</f>
        <v/>
      </c>
      <c r="L178" s="55" t="str">
        <f>IFERROR(Inv_SY!L180/Inv_SY!$Y180-1,"")</f>
        <v/>
      </c>
      <c r="M178" s="55" t="str">
        <f>IFERROR(Inv_SY!M180/Inv_SY!$Y180-1,"")</f>
        <v/>
      </c>
      <c r="N178" s="55" t="str">
        <f>IFERROR(Inv_SY!N180/Inv_SY!$Y180-1,"")</f>
        <v/>
      </c>
      <c r="O178" s="55" t="str">
        <f>IFERROR(Inv_SY!O180/Inv_SY!$Y180-1,"")</f>
        <v/>
      </c>
      <c r="P178" s="55" t="str">
        <f>IFERROR(Inv_SY!P180/Inv_SY!$Y180-1,"")</f>
        <v/>
      </c>
      <c r="Q178" s="55" t="str">
        <f>IFERROR(Inv_SY!Q180/Inv_SY!$Y180-1,"")</f>
        <v/>
      </c>
      <c r="R178" s="55" t="str">
        <f>IFERROR(Inv_SY!R180/Inv_SY!$Y180-1,"")</f>
        <v/>
      </c>
      <c r="S178" s="55" t="str">
        <f>IFERROR(Inv_SY!S180/Inv_SY!$Y180-1,"")</f>
        <v/>
      </c>
      <c r="T178" s="55" t="str">
        <f>IFERROR(Inv_SY!T180/Inv_SY!$Y180-1,"")</f>
        <v/>
      </c>
      <c r="U178" s="55" t="str">
        <f>IFERROR(Inv_SY!U180/Inv_SY!$Y180-1,"")</f>
        <v/>
      </c>
      <c r="V178" s="55" t="str">
        <f>IFERROR(Inv_SY!J180/Inv_SY!$Z180-1,"")</f>
        <v/>
      </c>
      <c r="W178" s="55" t="str">
        <f>IFERROR(Inv_SY!K180/Inv_SY!$Z180-1,"")</f>
        <v/>
      </c>
      <c r="X178" s="55" t="str">
        <f>IFERROR(Inv_SY!L180/Inv_SY!$Z180-1,"")</f>
        <v/>
      </c>
      <c r="Y178" s="55" t="str">
        <f>IFERROR(Inv_SY!M180/Inv_SY!$Z180-1,"")</f>
        <v/>
      </c>
      <c r="Z178" s="55" t="str">
        <f>IFERROR(Inv_SY!N180/Inv_SY!$Z180-1,"")</f>
        <v/>
      </c>
      <c r="AA178" s="55" t="str">
        <f>IFERROR(Inv_SY!O180/Inv_SY!$Z180-1,"")</f>
        <v/>
      </c>
      <c r="AB178" s="55" t="str">
        <f>IFERROR(Inv_SY!P180/Inv_SY!$Z180-1,"")</f>
        <v/>
      </c>
      <c r="AC178" s="55" t="str">
        <f>IFERROR(Inv_SY!Q180/Inv_SY!$Z180-1,"")</f>
        <v/>
      </c>
      <c r="AD178" s="55" t="str">
        <f>IFERROR(Inv_SY!R180/Inv_SY!$Z180-1,"")</f>
        <v/>
      </c>
      <c r="AE178" s="55" t="str">
        <f>IFERROR(Inv_SY!S180/Inv_SY!$Z180-1,"")</f>
        <v/>
      </c>
      <c r="AF178" s="55" t="str">
        <f>IFERROR(Inv_SY!T180/Inv_SY!$Z180-1,"")</f>
        <v/>
      </c>
      <c r="AG178" s="55" t="str">
        <f>IFERROR(Inv_SY!U180/Inv_SY!$Z180-1,"")</f>
        <v/>
      </c>
      <c r="AH178" s="55" t="str">
        <f>IFERROR(Inv_SY!V180/Inv_SY!$Y180-1,"")</f>
        <v/>
      </c>
      <c r="AI178" s="55" t="str">
        <f>IFERROR(Inv_SY!W180/Inv_SY!$Y180-1,"")</f>
        <v/>
      </c>
      <c r="AJ178" s="55" t="str">
        <f>IFERROR(Inv_SY!X180/Inv_SY!$Y180-1,"")</f>
        <v/>
      </c>
      <c r="AK178" s="55" t="str">
        <f>IFERROR(Inv_SY!V180/Inv_SY!$Z180-1,"")</f>
        <v/>
      </c>
      <c r="AL178" s="55" t="str">
        <f>IFERROR(Inv_SY!W180/Inv_SY!$Z180-1,"")</f>
        <v/>
      </c>
      <c r="AM178" s="55" t="str">
        <f>IFERROR(Inv_SY!X180/Inv_SY!$Z180-1,"")</f>
        <v/>
      </c>
    </row>
    <row r="179" spans="1:39" x14ac:dyDescent="0.3">
      <c r="A179" s="273">
        <f>YEAR(Table5[[#This Row],[Date]])+IF(MONTH(Table5[[#This Row],[Date]])&gt;=4,1,0)</f>
        <v>2026</v>
      </c>
      <c r="B179" s="273"/>
      <c r="C179" s="273">
        <f>YEAR(Table5[[#This Row],[Date]])</f>
        <v>2025</v>
      </c>
      <c r="D179" s="273"/>
      <c r="E179" s="273"/>
      <c r="F179" s="274" t="str">
        <f>TEXT(Table5[[#This Row],[Date]],"mmm-yy")</f>
        <v>Sep-25</v>
      </c>
      <c r="G179" s="273">
        <f t="shared" si="9"/>
        <v>30</v>
      </c>
      <c r="H179" s="275">
        <f t="shared" si="10"/>
        <v>45922</v>
      </c>
      <c r="I179" s="273">
        <v>8.02</v>
      </c>
      <c r="J179" s="55" t="str">
        <f>IFERROR(Inv_SY!J181/Inv_SY!$Y181-1,"")</f>
        <v/>
      </c>
      <c r="K179" s="55" t="str">
        <f>IFERROR(Inv_SY!K181/Inv_SY!$Y181-1,"")</f>
        <v/>
      </c>
      <c r="L179" s="55" t="str">
        <f>IFERROR(Inv_SY!L181/Inv_SY!$Y181-1,"")</f>
        <v/>
      </c>
      <c r="M179" s="55" t="str">
        <f>IFERROR(Inv_SY!M181/Inv_SY!$Y181-1,"")</f>
        <v/>
      </c>
      <c r="N179" s="55" t="str">
        <f>IFERROR(Inv_SY!N181/Inv_SY!$Y181-1,"")</f>
        <v/>
      </c>
      <c r="O179" s="55" t="str">
        <f>IFERROR(Inv_SY!O181/Inv_SY!$Y181-1,"")</f>
        <v/>
      </c>
      <c r="P179" s="55" t="str">
        <f>IFERROR(Inv_SY!P181/Inv_SY!$Y181-1,"")</f>
        <v/>
      </c>
      <c r="Q179" s="55" t="str">
        <f>IFERROR(Inv_SY!Q181/Inv_SY!$Y181-1,"")</f>
        <v/>
      </c>
      <c r="R179" s="55" t="str">
        <f>IFERROR(Inv_SY!R181/Inv_SY!$Y181-1,"")</f>
        <v/>
      </c>
      <c r="S179" s="55" t="str">
        <f>IFERROR(Inv_SY!S181/Inv_SY!$Y181-1,"")</f>
        <v/>
      </c>
      <c r="T179" s="55" t="str">
        <f>IFERROR(Inv_SY!T181/Inv_SY!$Y181-1,"")</f>
        <v/>
      </c>
      <c r="U179" s="55" t="str">
        <f>IFERROR(Inv_SY!U181/Inv_SY!$Y181-1,"")</f>
        <v/>
      </c>
      <c r="V179" s="55" t="str">
        <f>IFERROR(Inv_SY!J181/Inv_SY!$Z181-1,"")</f>
        <v/>
      </c>
      <c r="W179" s="55" t="str">
        <f>IFERROR(Inv_SY!K181/Inv_SY!$Z181-1,"")</f>
        <v/>
      </c>
      <c r="X179" s="55" t="str">
        <f>IFERROR(Inv_SY!L181/Inv_SY!$Z181-1,"")</f>
        <v/>
      </c>
      <c r="Y179" s="55" t="str">
        <f>IFERROR(Inv_SY!M181/Inv_SY!$Z181-1,"")</f>
        <v/>
      </c>
      <c r="Z179" s="55" t="str">
        <f>IFERROR(Inv_SY!N181/Inv_SY!$Z181-1,"")</f>
        <v/>
      </c>
      <c r="AA179" s="55" t="str">
        <f>IFERROR(Inv_SY!O181/Inv_SY!$Z181-1,"")</f>
        <v/>
      </c>
      <c r="AB179" s="55" t="str">
        <f>IFERROR(Inv_SY!P181/Inv_SY!$Z181-1,"")</f>
        <v/>
      </c>
      <c r="AC179" s="55" t="str">
        <f>IFERROR(Inv_SY!Q181/Inv_SY!$Z181-1,"")</f>
        <v/>
      </c>
      <c r="AD179" s="55" t="str">
        <f>IFERROR(Inv_SY!R181/Inv_SY!$Z181-1,"")</f>
        <v/>
      </c>
      <c r="AE179" s="55" t="str">
        <f>IFERROR(Inv_SY!S181/Inv_SY!$Z181-1,"")</f>
        <v/>
      </c>
      <c r="AF179" s="55" t="str">
        <f>IFERROR(Inv_SY!T181/Inv_SY!$Z181-1,"")</f>
        <v/>
      </c>
      <c r="AG179" s="55" t="str">
        <f>IFERROR(Inv_SY!U181/Inv_SY!$Z181-1,"")</f>
        <v/>
      </c>
      <c r="AH179" s="55" t="str">
        <f>IFERROR(Inv_SY!V181/Inv_SY!$Y181-1,"")</f>
        <v/>
      </c>
      <c r="AI179" s="55" t="str">
        <f>IFERROR(Inv_SY!W181/Inv_SY!$Y181-1,"")</f>
        <v/>
      </c>
      <c r="AJ179" s="55" t="str">
        <f>IFERROR(Inv_SY!X181/Inv_SY!$Y181-1,"")</f>
        <v/>
      </c>
      <c r="AK179" s="55" t="str">
        <f>IFERROR(Inv_SY!V181/Inv_SY!$Z181-1,"")</f>
        <v/>
      </c>
      <c r="AL179" s="55" t="str">
        <f>IFERROR(Inv_SY!W181/Inv_SY!$Z181-1,"")</f>
        <v/>
      </c>
      <c r="AM179" s="55" t="str">
        <f>IFERROR(Inv_SY!X181/Inv_SY!$Z181-1,"")</f>
        <v/>
      </c>
    </row>
    <row r="180" spans="1:39" x14ac:dyDescent="0.3">
      <c r="A180" s="273">
        <f>YEAR(Table5[[#This Row],[Date]])+IF(MONTH(Table5[[#This Row],[Date]])&gt;=4,1,0)</f>
        <v>2026</v>
      </c>
      <c r="B180" s="273"/>
      <c r="C180" s="273">
        <f>YEAR(Table5[[#This Row],[Date]])</f>
        <v>2025</v>
      </c>
      <c r="D180" s="273"/>
      <c r="E180" s="273"/>
      <c r="F180" s="274" t="str">
        <f>TEXT(Table5[[#This Row],[Date]],"mmm-yy")</f>
        <v>Sep-25</v>
      </c>
      <c r="G180" s="273">
        <f t="shared" si="9"/>
        <v>30</v>
      </c>
      <c r="H180" s="275">
        <f t="shared" si="10"/>
        <v>45923</v>
      </c>
      <c r="I180" s="273">
        <v>8.02</v>
      </c>
      <c r="J180" s="55" t="str">
        <f>IFERROR(Inv_SY!J182/Inv_SY!$Y182-1,"")</f>
        <v/>
      </c>
      <c r="K180" s="55" t="str">
        <f>IFERROR(Inv_SY!K182/Inv_SY!$Y182-1,"")</f>
        <v/>
      </c>
      <c r="L180" s="55" t="str">
        <f>IFERROR(Inv_SY!L182/Inv_SY!$Y182-1,"")</f>
        <v/>
      </c>
      <c r="M180" s="55" t="str">
        <f>IFERROR(Inv_SY!M182/Inv_SY!$Y182-1,"")</f>
        <v/>
      </c>
      <c r="N180" s="55" t="str">
        <f>IFERROR(Inv_SY!N182/Inv_SY!$Y182-1,"")</f>
        <v/>
      </c>
      <c r="O180" s="55" t="str">
        <f>IFERROR(Inv_SY!O182/Inv_SY!$Y182-1,"")</f>
        <v/>
      </c>
      <c r="P180" s="55" t="str">
        <f>IFERROR(Inv_SY!P182/Inv_SY!$Y182-1,"")</f>
        <v/>
      </c>
      <c r="Q180" s="55" t="str">
        <f>IFERROR(Inv_SY!Q182/Inv_SY!$Y182-1,"")</f>
        <v/>
      </c>
      <c r="R180" s="55" t="str">
        <f>IFERROR(Inv_SY!R182/Inv_SY!$Y182-1,"")</f>
        <v/>
      </c>
      <c r="S180" s="55" t="str">
        <f>IFERROR(Inv_SY!S182/Inv_SY!$Y182-1,"")</f>
        <v/>
      </c>
      <c r="T180" s="55" t="str">
        <f>IFERROR(Inv_SY!T182/Inv_SY!$Y182-1,"")</f>
        <v/>
      </c>
      <c r="U180" s="55" t="str">
        <f>IFERROR(Inv_SY!U182/Inv_SY!$Y182-1,"")</f>
        <v/>
      </c>
      <c r="V180" s="55" t="str">
        <f>IFERROR(Inv_SY!J182/Inv_SY!$Z182-1,"")</f>
        <v/>
      </c>
      <c r="W180" s="55" t="str">
        <f>IFERROR(Inv_SY!K182/Inv_SY!$Z182-1,"")</f>
        <v/>
      </c>
      <c r="X180" s="55" t="str">
        <f>IFERROR(Inv_SY!L182/Inv_SY!$Z182-1,"")</f>
        <v/>
      </c>
      <c r="Y180" s="55" t="str">
        <f>IFERROR(Inv_SY!M182/Inv_SY!$Z182-1,"")</f>
        <v/>
      </c>
      <c r="Z180" s="55" t="str">
        <f>IFERROR(Inv_SY!N182/Inv_SY!$Z182-1,"")</f>
        <v/>
      </c>
      <c r="AA180" s="55" t="str">
        <f>IFERROR(Inv_SY!O182/Inv_SY!$Z182-1,"")</f>
        <v/>
      </c>
      <c r="AB180" s="55" t="str">
        <f>IFERROR(Inv_SY!P182/Inv_SY!$Z182-1,"")</f>
        <v/>
      </c>
      <c r="AC180" s="55" t="str">
        <f>IFERROR(Inv_SY!Q182/Inv_SY!$Z182-1,"")</f>
        <v/>
      </c>
      <c r="AD180" s="55" t="str">
        <f>IFERROR(Inv_SY!R182/Inv_SY!$Z182-1,"")</f>
        <v/>
      </c>
      <c r="AE180" s="55" t="str">
        <f>IFERROR(Inv_SY!S182/Inv_SY!$Z182-1,"")</f>
        <v/>
      </c>
      <c r="AF180" s="55" t="str">
        <f>IFERROR(Inv_SY!T182/Inv_SY!$Z182-1,"")</f>
        <v/>
      </c>
      <c r="AG180" s="55" t="str">
        <f>IFERROR(Inv_SY!U182/Inv_SY!$Z182-1,"")</f>
        <v/>
      </c>
      <c r="AH180" s="55" t="str">
        <f>IFERROR(Inv_SY!V182/Inv_SY!$Y182-1,"")</f>
        <v/>
      </c>
      <c r="AI180" s="55" t="str">
        <f>IFERROR(Inv_SY!W182/Inv_SY!$Y182-1,"")</f>
        <v/>
      </c>
      <c r="AJ180" s="55" t="str">
        <f>IFERROR(Inv_SY!X182/Inv_SY!$Y182-1,"")</f>
        <v/>
      </c>
      <c r="AK180" s="55" t="str">
        <f>IFERROR(Inv_SY!V182/Inv_SY!$Z182-1,"")</f>
        <v/>
      </c>
      <c r="AL180" s="55" t="str">
        <f>IFERROR(Inv_SY!W182/Inv_SY!$Z182-1,"")</f>
        <v/>
      </c>
      <c r="AM180" s="55" t="str">
        <f>IFERROR(Inv_SY!X182/Inv_SY!$Z182-1,"")</f>
        <v/>
      </c>
    </row>
    <row r="181" spans="1:39" x14ac:dyDescent="0.3">
      <c r="A181" s="273">
        <f>YEAR(Table5[[#This Row],[Date]])+IF(MONTH(Table5[[#This Row],[Date]])&gt;=4,1,0)</f>
        <v>2026</v>
      </c>
      <c r="B181" s="273"/>
      <c r="C181" s="273">
        <f>YEAR(Table5[[#This Row],[Date]])</f>
        <v>2025</v>
      </c>
      <c r="D181" s="273"/>
      <c r="E181" s="273"/>
      <c r="F181" s="274" t="str">
        <f>TEXT(Table5[[#This Row],[Date]],"mmm-yy")</f>
        <v>Sep-25</v>
      </c>
      <c r="G181" s="273">
        <f t="shared" si="9"/>
        <v>30</v>
      </c>
      <c r="H181" s="275">
        <f t="shared" si="10"/>
        <v>45924</v>
      </c>
      <c r="I181" s="273">
        <v>8.02</v>
      </c>
      <c r="J181" s="55" t="str">
        <f>IFERROR(Inv_SY!J183/Inv_SY!$Y183-1,"")</f>
        <v/>
      </c>
      <c r="K181" s="55" t="str">
        <f>IFERROR(Inv_SY!K183/Inv_SY!$Y183-1,"")</f>
        <v/>
      </c>
      <c r="L181" s="55" t="str">
        <f>IFERROR(Inv_SY!L183/Inv_SY!$Y183-1,"")</f>
        <v/>
      </c>
      <c r="M181" s="55" t="str">
        <f>IFERROR(Inv_SY!M183/Inv_SY!$Y183-1,"")</f>
        <v/>
      </c>
      <c r="N181" s="55" t="str">
        <f>IFERROR(Inv_SY!N183/Inv_SY!$Y183-1,"")</f>
        <v/>
      </c>
      <c r="O181" s="55" t="str">
        <f>IFERROR(Inv_SY!O183/Inv_SY!$Y183-1,"")</f>
        <v/>
      </c>
      <c r="P181" s="55" t="str">
        <f>IFERROR(Inv_SY!P183/Inv_SY!$Y183-1,"")</f>
        <v/>
      </c>
      <c r="Q181" s="55" t="str">
        <f>IFERROR(Inv_SY!Q183/Inv_SY!$Y183-1,"")</f>
        <v/>
      </c>
      <c r="R181" s="55" t="str">
        <f>IFERROR(Inv_SY!R183/Inv_SY!$Y183-1,"")</f>
        <v/>
      </c>
      <c r="S181" s="55" t="str">
        <f>IFERROR(Inv_SY!S183/Inv_SY!$Y183-1,"")</f>
        <v/>
      </c>
      <c r="T181" s="55" t="str">
        <f>IFERROR(Inv_SY!T183/Inv_SY!$Y183-1,"")</f>
        <v/>
      </c>
      <c r="U181" s="55" t="str">
        <f>IFERROR(Inv_SY!U183/Inv_SY!$Y183-1,"")</f>
        <v/>
      </c>
      <c r="V181" s="55" t="str">
        <f>IFERROR(Inv_SY!J183/Inv_SY!$Z183-1,"")</f>
        <v/>
      </c>
      <c r="W181" s="55" t="str">
        <f>IFERROR(Inv_SY!K183/Inv_SY!$Z183-1,"")</f>
        <v/>
      </c>
      <c r="X181" s="55" t="str">
        <f>IFERROR(Inv_SY!L183/Inv_SY!$Z183-1,"")</f>
        <v/>
      </c>
      <c r="Y181" s="55" t="str">
        <f>IFERROR(Inv_SY!M183/Inv_SY!$Z183-1,"")</f>
        <v/>
      </c>
      <c r="Z181" s="55" t="str">
        <f>IFERROR(Inv_SY!N183/Inv_SY!$Z183-1,"")</f>
        <v/>
      </c>
      <c r="AA181" s="55" t="str">
        <f>IFERROR(Inv_SY!O183/Inv_SY!$Z183-1,"")</f>
        <v/>
      </c>
      <c r="AB181" s="55" t="str">
        <f>IFERROR(Inv_SY!P183/Inv_SY!$Z183-1,"")</f>
        <v/>
      </c>
      <c r="AC181" s="55" t="str">
        <f>IFERROR(Inv_SY!Q183/Inv_SY!$Z183-1,"")</f>
        <v/>
      </c>
      <c r="AD181" s="55" t="str">
        <f>IFERROR(Inv_SY!R183/Inv_SY!$Z183-1,"")</f>
        <v/>
      </c>
      <c r="AE181" s="55" t="str">
        <f>IFERROR(Inv_SY!S183/Inv_SY!$Z183-1,"")</f>
        <v/>
      </c>
      <c r="AF181" s="55" t="str">
        <f>IFERROR(Inv_SY!T183/Inv_SY!$Z183-1,"")</f>
        <v/>
      </c>
      <c r="AG181" s="55" t="str">
        <f>IFERROR(Inv_SY!U183/Inv_SY!$Z183-1,"")</f>
        <v/>
      </c>
      <c r="AH181" s="55" t="str">
        <f>IFERROR(Inv_SY!V183/Inv_SY!$Y183-1,"")</f>
        <v/>
      </c>
      <c r="AI181" s="55" t="str">
        <f>IFERROR(Inv_SY!W183/Inv_SY!$Y183-1,"")</f>
        <v/>
      </c>
      <c r="AJ181" s="55" t="str">
        <f>IFERROR(Inv_SY!X183/Inv_SY!$Y183-1,"")</f>
        <v/>
      </c>
      <c r="AK181" s="55" t="str">
        <f>IFERROR(Inv_SY!V183/Inv_SY!$Z183-1,"")</f>
        <v/>
      </c>
      <c r="AL181" s="55" t="str">
        <f>IFERROR(Inv_SY!W183/Inv_SY!$Z183-1,"")</f>
        <v/>
      </c>
      <c r="AM181" s="55" t="str">
        <f>IFERROR(Inv_SY!X183/Inv_SY!$Z183-1,"")</f>
        <v/>
      </c>
    </row>
    <row r="182" spans="1:39" x14ac:dyDescent="0.3">
      <c r="A182" s="273">
        <f>YEAR(Table5[[#This Row],[Date]])+IF(MONTH(Table5[[#This Row],[Date]])&gt;=4,1,0)</f>
        <v>2026</v>
      </c>
      <c r="B182" s="273"/>
      <c r="C182" s="273">
        <f>YEAR(Table5[[#This Row],[Date]])</f>
        <v>2025</v>
      </c>
      <c r="D182" s="273"/>
      <c r="E182" s="273"/>
      <c r="F182" s="274" t="str">
        <f>TEXT(Table5[[#This Row],[Date]],"mmm-yy")</f>
        <v>Sep-25</v>
      </c>
      <c r="G182" s="273">
        <f t="shared" si="9"/>
        <v>30</v>
      </c>
      <c r="H182" s="275">
        <f t="shared" si="10"/>
        <v>45925</v>
      </c>
      <c r="I182" s="273">
        <v>8.02</v>
      </c>
      <c r="J182" s="55" t="str">
        <f>IFERROR(Inv_SY!J184/Inv_SY!$Y184-1,"")</f>
        <v/>
      </c>
      <c r="K182" s="55" t="str">
        <f>IFERROR(Inv_SY!K184/Inv_SY!$Y184-1,"")</f>
        <v/>
      </c>
      <c r="L182" s="55" t="str">
        <f>IFERROR(Inv_SY!L184/Inv_SY!$Y184-1,"")</f>
        <v/>
      </c>
      <c r="M182" s="55" t="str">
        <f>IFERROR(Inv_SY!M184/Inv_SY!$Y184-1,"")</f>
        <v/>
      </c>
      <c r="N182" s="55" t="str">
        <f>IFERROR(Inv_SY!N184/Inv_SY!$Y184-1,"")</f>
        <v/>
      </c>
      <c r="O182" s="55" t="str">
        <f>IFERROR(Inv_SY!O184/Inv_SY!$Y184-1,"")</f>
        <v/>
      </c>
      <c r="P182" s="55" t="str">
        <f>IFERROR(Inv_SY!P184/Inv_SY!$Y184-1,"")</f>
        <v/>
      </c>
      <c r="Q182" s="55" t="str">
        <f>IFERROR(Inv_SY!Q184/Inv_SY!$Y184-1,"")</f>
        <v/>
      </c>
      <c r="R182" s="55" t="str">
        <f>IFERROR(Inv_SY!R184/Inv_SY!$Y184-1,"")</f>
        <v/>
      </c>
      <c r="S182" s="55" t="str">
        <f>IFERROR(Inv_SY!S184/Inv_SY!$Y184-1,"")</f>
        <v/>
      </c>
      <c r="T182" s="55" t="str">
        <f>IFERROR(Inv_SY!T184/Inv_SY!$Y184-1,"")</f>
        <v/>
      </c>
      <c r="U182" s="55" t="str">
        <f>IFERROR(Inv_SY!U184/Inv_SY!$Y184-1,"")</f>
        <v/>
      </c>
      <c r="V182" s="55" t="str">
        <f>IFERROR(Inv_SY!J184/Inv_SY!$Z184-1,"")</f>
        <v/>
      </c>
      <c r="W182" s="55" t="str">
        <f>IFERROR(Inv_SY!K184/Inv_SY!$Z184-1,"")</f>
        <v/>
      </c>
      <c r="X182" s="55" t="str">
        <f>IFERROR(Inv_SY!L184/Inv_SY!$Z184-1,"")</f>
        <v/>
      </c>
      <c r="Y182" s="55" t="str">
        <f>IFERROR(Inv_SY!M184/Inv_SY!$Z184-1,"")</f>
        <v/>
      </c>
      <c r="Z182" s="55" t="str">
        <f>IFERROR(Inv_SY!N184/Inv_SY!$Z184-1,"")</f>
        <v/>
      </c>
      <c r="AA182" s="55" t="str">
        <f>IFERROR(Inv_SY!O184/Inv_SY!$Z184-1,"")</f>
        <v/>
      </c>
      <c r="AB182" s="55" t="str">
        <f>IFERROR(Inv_SY!P184/Inv_SY!$Z184-1,"")</f>
        <v/>
      </c>
      <c r="AC182" s="55" t="str">
        <f>IFERROR(Inv_SY!Q184/Inv_SY!$Z184-1,"")</f>
        <v/>
      </c>
      <c r="AD182" s="55" t="str">
        <f>IFERROR(Inv_SY!R184/Inv_SY!$Z184-1,"")</f>
        <v/>
      </c>
      <c r="AE182" s="55" t="str">
        <f>IFERROR(Inv_SY!S184/Inv_SY!$Z184-1,"")</f>
        <v/>
      </c>
      <c r="AF182" s="55" t="str">
        <f>IFERROR(Inv_SY!T184/Inv_SY!$Z184-1,"")</f>
        <v/>
      </c>
      <c r="AG182" s="55" t="str">
        <f>IFERROR(Inv_SY!U184/Inv_SY!$Z184-1,"")</f>
        <v/>
      </c>
      <c r="AH182" s="55" t="str">
        <f>IFERROR(Inv_SY!V184/Inv_SY!$Y184-1,"")</f>
        <v/>
      </c>
      <c r="AI182" s="55" t="str">
        <f>IFERROR(Inv_SY!W184/Inv_SY!$Y184-1,"")</f>
        <v/>
      </c>
      <c r="AJ182" s="55" t="str">
        <f>IFERROR(Inv_SY!X184/Inv_SY!$Y184-1,"")</f>
        <v/>
      </c>
      <c r="AK182" s="55" t="str">
        <f>IFERROR(Inv_SY!V184/Inv_SY!$Z184-1,"")</f>
        <v/>
      </c>
      <c r="AL182" s="55" t="str">
        <f>IFERROR(Inv_SY!W184/Inv_SY!$Z184-1,"")</f>
        <v/>
      </c>
      <c r="AM182" s="55" t="str">
        <f>IFERROR(Inv_SY!X184/Inv_SY!$Z184-1,"")</f>
        <v/>
      </c>
    </row>
    <row r="183" spans="1:39" x14ac:dyDescent="0.3">
      <c r="A183" s="273">
        <f>YEAR(Table5[[#This Row],[Date]])+IF(MONTH(Table5[[#This Row],[Date]])&gt;=4,1,0)</f>
        <v>2026</v>
      </c>
      <c r="B183" s="273"/>
      <c r="C183" s="273">
        <f>YEAR(Table5[[#This Row],[Date]])</f>
        <v>2025</v>
      </c>
      <c r="D183" s="273"/>
      <c r="E183" s="273"/>
      <c r="F183" s="274" t="str">
        <f>TEXT(Table5[[#This Row],[Date]],"mmm-yy")</f>
        <v>Sep-25</v>
      </c>
      <c r="G183" s="273">
        <f t="shared" si="9"/>
        <v>30</v>
      </c>
      <c r="H183" s="275">
        <f t="shared" si="10"/>
        <v>45926</v>
      </c>
      <c r="I183" s="273">
        <v>8.02</v>
      </c>
      <c r="J183" s="55" t="str">
        <f>IFERROR(Inv_SY!J185/Inv_SY!$Y185-1,"")</f>
        <v/>
      </c>
      <c r="K183" s="55" t="str">
        <f>IFERROR(Inv_SY!K185/Inv_SY!$Y185-1,"")</f>
        <v/>
      </c>
      <c r="L183" s="55" t="str">
        <f>IFERROR(Inv_SY!L185/Inv_SY!$Y185-1,"")</f>
        <v/>
      </c>
      <c r="M183" s="55" t="str">
        <f>IFERROR(Inv_SY!M185/Inv_SY!$Y185-1,"")</f>
        <v/>
      </c>
      <c r="N183" s="55" t="str">
        <f>IFERROR(Inv_SY!N185/Inv_SY!$Y185-1,"")</f>
        <v/>
      </c>
      <c r="O183" s="55" t="str">
        <f>IFERROR(Inv_SY!O185/Inv_SY!$Y185-1,"")</f>
        <v/>
      </c>
      <c r="P183" s="55" t="str">
        <f>IFERROR(Inv_SY!P185/Inv_SY!$Y185-1,"")</f>
        <v/>
      </c>
      <c r="Q183" s="55" t="str">
        <f>IFERROR(Inv_SY!Q185/Inv_SY!$Y185-1,"")</f>
        <v/>
      </c>
      <c r="R183" s="55" t="str">
        <f>IFERROR(Inv_SY!R185/Inv_SY!$Y185-1,"")</f>
        <v/>
      </c>
      <c r="S183" s="55" t="str">
        <f>IFERROR(Inv_SY!S185/Inv_SY!$Y185-1,"")</f>
        <v/>
      </c>
      <c r="T183" s="55" t="str">
        <f>IFERROR(Inv_SY!T185/Inv_SY!$Y185-1,"")</f>
        <v/>
      </c>
      <c r="U183" s="55" t="str">
        <f>IFERROR(Inv_SY!U185/Inv_SY!$Y185-1,"")</f>
        <v/>
      </c>
      <c r="V183" s="55" t="str">
        <f>IFERROR(Inv_SY!J185/Inv_SY!$Z185-1,"")</f>
        <v/>
      </c>
      <c r="W183" s="55" t="str">
        <f>IFERROR(Inv_SY!K185/Inv_SY!$Z185-1,"")</f>
        <v/>
      </c>
      <c r="X183" s="55" t="str">
        <f>IFERROR(Inv_SY!L185/Inv_SY!$Z185-1,"")</f>
        <v/>
      </c>
      <c r="Y183" s="55" t="str">
        <f>IFERROR(Inv_SY!M185/Inv_SY!$Z185-1,"")</f>
        <v/>
      </c>
      <c r="Z183" s="55" t="str">
        <f>IFERROR(Inv_SY!N185/Inv_SY!$Z185-1,"")</f>
        <v/>
      </c>
      <c r="AA183" s="55" t="str">
        <f>IFERROR(Inv_SY!O185/Inv_SY!$Z185-1,"")</f>
        <v/>
      </c>
      <c r="AB183" s="55" t="str">
        <f>IFERROR(Inv_SY!P185/Inv_SY!$Z185-1,"")</f>
        <v/>
      </c>
      <c r="AC183" s="55" t="str">
        <f>IFERROR(Inv_SY!Q185/Inv_SY!$Z185-1,"")</f>
        <v/>
      </c>
      <c r="AD183" s="55" t="str">
        <f>IFERROR(Inv_SY!R185/Inv_SY!$Z185-1,"")</f>
        <v/>
      </c>
      <c r="AE183" s="55" t="str">
        <f>IFERROR(Inv_SY!S185/Inv_SY!$Z185-1,"")</f>
        <v/>
      </c>
      <c r="AF183" s="55" t="str">
        <f>IFERROR(Inv_SY!T185/Inv_SY!$Z185-1,"")</f>
        <v/>
      </c>
      <c r="AG183" s="55" t="str">
        <f>IFERROR(Inv_SY!U185/Inv_SY!$Z185-1,"")</f>
        <v/>
      </c>
      <c r="AH183" s="55" t="str">
        <f>IFERROR(Inv_SY!V185/Inv_SY!$Y185-1,"")</f>
        <v/>
      </c>
      <c r="AI183" s="55" t="str">
        <f>IFERROR(Inv_SY!W185/Inv_SY!$Y185-1,"")</f>
        <v/>
      </c>
      <c r="AJ183" s="55" t="str">
        <f>IFERROR(Inv_SY!X185/Inv_SY!$Y185-1,"")</f>
        <v/>
      </c>
      <c r="AK183" s="55" t="str">
        <f>IFERROR(Inv_SY!V185/Inv_SY!$Z185-1,"")</f>
        <v/>
      </c>
      <c r="AL183" s="55" t="str">
        <f>IFERROR(Inv_SY!W185/Inv_SY!$Z185-1,"")</f>
        <v/>
      </c>
      <c r="AM183" s="55" t="str">
        <f>IFERROR(Inv_SY!X185/Inv_SY!$Z185-1,"")</f>
        <v/>
      </c>
    </row>
    <row r="184" spans="1:39" x14ac:dyDescent="0.3">
      <c r="A184" s="273">
        <f>YEAR(Table5[[#This Row],[Date]])+IF(MONTH(Table5[[#This Row],[Date]])&gt;=4,1,0)</f>
        <v>2026</v>
      </c>
      <c r="B184" s="273"/>
      <c r="C184" s="273">
        <f>YEAR(Table5[[#This Row],[Date]])</f>
        <v>2025</v>
      </c>
      <c r="D184" s="273"/>
      <c r="E184" s="273"/>
      <c r="F184" s="274" t="str">
        <f>TEXT(Table5[[#This Row],[Date]],"mmm-yy")</f>
        <v>Sep-25</v>
      </c>
      <c r="G184" s="273">
        <f t="shared" si="9"/>
        <v>30</v>
      </c>
      <c r="H184" s="275">
        <f t="shared" si="10"/>
        <v>45927</v>
      </c>
      <c r="I184" s="273">
        <v>8.02</v>
      </c>
      <c r="J184" s="55" t="str">
        <f>IFERROR(Inv_SY!J186/Inv_SY!$Y186-1,"")</f>
        <v/>
      </c>
      <c r="K184" s="55" t="str">
        <f>IFERROR(Inv_SY!K186/Inv_SY!$Y186-1,"")</f>
        <v/>
      </c>
      <c r="L184" s="55" t="str">
        <f>IFERROR(Inv_SY!L186/Inv_SY!$Y186-1,"")</f>
        <v/>
      </c>
      <c r="M184" s="55" t="str">
        <f>IFERROR(Inv_SY!M186/Inv_SY!$Y186-1,"")</f>
        <v/>
      </c>
      <c r="N184" s="55" t="str">
        <f>IFERROR(Inv_SY!N186/Inv_SY!$Y186-1,"")</f>
        <v/>
      </c>
      <c r="O184" s="55" t="str">
        <f>IFERROR(Inv_SY!O186/Inv_SY!$Y186-1,"")</f>
        <v/>
      </c>
      <c r="P184" s="55" t="str">
        <f>IFERROR(Inv_SY!P186/Inv_SY!$Y186-1,"")</f>
        <v/>
      </c>
      <c r="Q184" s="55" t="str">
        <f>IFERROR(Inv_SY!Q186/Inv_SY!$Y186-1,"")</f>
        <v/>
      </c>
      <c r="R184" s="55" t="str">
        <f>IFERROR(Inv_SY!R186/Inv_SY!$Y186-1,"")</f>
        <v/>
      </c>
      <c r="S184" s="55" t="str">
        <f>IFERROR(Inv_SY!S186/Inv_SY!$Y186-1,"")</f>
        <v/>
      </c>
      <c r="T184" s="55" t="str">
        <f>IFERROR(Inv_SY!T186/Inv_SY!$Y186-1,"")</f>
        <v/>
      </c>
      <c r="U184" s="55" t="str">
        <f>IFERROR(Inv_SY!U186/Inv_SY!$Y186-1,"")</f>
        <v/>
      </c>
      <c r="V184" s="55" t="str">
        <f>IFERROR(Inv_SY!J186/Inv_SY!$Z186-1,"")</f>
        <v/>
      </c>
      <c r="W184" s="55" t="str">
        <f>IFERROR(Inv_SY!K186/Inv_SY!$Z186-1,"")</f>
        <v/>
      </c>
      <c r="X184" s="55" t="str">
        <f>IFERROR(Inv_SY!L186/Inv_SY!$Z186-1,"")</f>
        <v/>
      </c>
      <c r="Y184" s="55" t="str">
        <f>IFERROR(Inv_SY!M186/Inv_SY!$Z186-1,"")</f>
        <v/>
      </c>
      <c r="Z184" s="55" t="str">
        <f>IFERROR(Inv_SY!N186/Inv_SY!$Z186-1,"")</f>
        <v/>
      </c>
      <c r="AA184" s="55" t="str">
        <f>IFERROR(Inv_SY!O186/Inv_SY!$Z186-1,"")</f>
        <v/>
      </c>
      <c r="AB184" s="55" t="str">
        <f>IFERROR(Inv_SY!P186/Inv_SY!$Z186-1,"")</f>
        <v/>
      </c>
      <c r="AC184" s="55" t="str">
        <f>IFERROR(Inv_SY!Q186/Inv_SY!$Z186-1,"")</f>
        <v/>
      </c>
      <c r="AD184" s="55" t="str">
        <f>IFERROR(Inv_SY!R186/Inv_SY!$Z186-1,"")</f>
        <v/>
      </c>
      <c r="AE184" s="55" t="str">
        <f>IFERROR(Inv_SY!S186/Inv_SY!$Z186-1,"")</f>
        <v/>
      </c>
      <c r="AF184" s="55" t="str">
        <f>IFERROR(Inv_SY!T186/Inv_SY!$Z186-1,"")</f>
        <v/>
      </c>
      <c r="AG184" s="55" t="str">
        <f>IFERROR(Inv_SY!U186/Inv_SY!$Z186-1,"")</f>
        <v/>
      </c>
      <c r="AH184" s="55" t="str">
        <f>IFERROR(Inv_SY!V186/Inv_SY!$Y186-1,"")</f>
        <v/>
      </c>
      <c r="AI184" s="55" t="str">
        <f>IFERROR(Inv_SY!W186/Inv_SY!$Y186-1,"")</f>
        <v/>
      </c>
      <c r="AJ184" s="55" t="str">
        <f>IFERROR(Inv_SY!X186/Inv_SY!$Y186-1,"")</f>
        <v/>
      </c>
      <c r="AK184" s="55" t="str">
        <f>IFERROR(Inv_SY!V186/Inv_SY!$Z186-1,"")</f>
        <v/>
      </c>
      <c r="AL184" s="55" t="str">
        <f>IFERROR(Inv_SY!W186/Inv_SY!$Z186-1,"")</f>
        <v/>
      </c>
      <c r="AM184" s="55" t="str">
        <f>IFERROR(Inv_SY!X186/Inv_SY!$Z186-1,"")</f>
        <v/>
      </c>
    </row>
    <row r="185" spans="1:39" x14ac:dyDescent="0.3">
      <c r="A185" s="273">
        <f>YEAR(Table5[[#This Row],[Date]])+IF(MONTH(Table5[[#This Row],[Date]])&gt;=4,1,0)</f>
        <v>2026</v>
      </c>
      <c r="B185" s="273"/>
      <c r="C185" s="273">
        <f>YEAR(Table5[[#This Row],[Date]])</f>
        <v>2025</v>
      </c>
      <c r="D185" s="273"/>
      <c r="E185" s="273"/>
      <c r="F185" s="274" t="str">
        <f>TEXT(Table5[[#This Row],[Date]],"mmm-yy")</f>
        <v>Sep-25</v>
      </c>
      <c r="G185" s="273">
        <f t="shared" si="9"/>
        <v>30</v>
      </c>
      <c r="H185" s="275">
        <f t="shared" si="10"/>
        <v>45928</v>
      </c>
      <c r="I185" s="273">
        <v>8.02</v>
      </c>
      <c r="J185" s="55" t="str">
        <f>IFERROR(Inv_SY!J187/Inv_SY!$Y187-1,"")</f>
        <v/>
      </c>
      <c r="K185" s="55" t="str">
        <f>IFERROR(Inv_SY!K187/Inv_SY!$Y187-1,"")</f>
        <v/>
      </c>
      <c r="L185" s="55" t="str">
        <f>IFERROR(Inv_SY!L187/Inv_SY!$Y187-1,"")</f>
        <v/>
      </c>
      <c r="M185" s="55" t="str">
        <f>IFERROR(Inv_SY!M187/Inv_SY!$Y187-1,"")</f>
        <v/>
      </c>
      <c r="N185" s="55" t="str">
        <f>IFERROR(Inv_SY!N187/Inv_SY!$Y187-1,"")</f>
        <v/>
      </c>
      <c r="O185" s="55" t="str">
        <f>IFERROR(Inv_SY!O187/Inv_SY!$Y187-1,"")</f>
        <v/>
      </c>
      <c r="P185" s="55" t="str">
        <f>IFERROR(Inv_SY!P187/Inv_SY!$Y187-1,"")</f>
        <v/>
      </c>
      <c r="Q185" s="55" t="str">
        <f>IFERROR(Inv_SY!Q187/Inv_SY!$Y187-1,"")</f>
        <v/>
      </c>
      <c r="R185" s="55" t="str">
        <f>IFERROR(Inv_SY!R187/Inv_SY!$Y187-1,"")</f>
        <v/>
      </c>
      <c r="S185" s="55" t="str">
        <f>IFERROR(Inv_SY!S187/Inv_SY!$Y187-1,"")</f>
        <v/>
      </c>
      <c r="T185" s="55" t="str">
        <f>IFERROR(Inv_SY!T187/Inv_SY!$Y187-1,"")</f>
        <v/>
      </c>
      <c r="U185" s="55" t="str">
        <f>IFERROR(Inv_SY!U187/Inv_SY!$Y187-1,"")</f>
        <v/>
      </c>
      <c r="V185" s="55" t="str">
        <f>IFERROR(Inv_SY!J187/Inv_SY!$Z187-1,"")</f>
        <v/>
      </c>
      <c r="W185" s="55" t="str">
        <f>IFERROR(Inv_SY!K187/Inv_SY!$Z187-1,"")</f>
        <v/>
      </c>
      <c r="X185" s="55" t="str">
        <f>IFERROR(Inv_SY!L187/Inv_SY!$Z187-1,"")</f>
        <v/>
      </c>
      <c r="Y185" s="55" t="str">
        <f>IFERROR(Inv_SY!M187/Inv_SY!$Z187-1,"")</f>
        <v/>
      </c>
      <c r="Z185" s="55" t="str">
        <f>IFERROR(Inv_SY!N187/Inv_SY!$Z187-1,"")</f>
        <v/>
      </c>
      <c r="AA185" s="55" t="str">
        <f>IFERROR(Inv_SY!O187/Inv_SY!$Z187-1,"")</f>
        <v/>
      </c>
      <c r="AB185" s="55" t="str">
        <f>IFERROR(Inv_SY!P187/Inv_SY!$Z187-1,"")</f>
        <v/>
      </c>
      <c r="AC185" s="55" t="str">
        <f>IFERROR(Inv_SY!Q187/Inv_SY!$Z187-1,"")</f>
        <v/>
      </c>
      <c r="AD185" s="55" t="str">
        <f>IFERROR(Inv_SY!R187/Inv_SY!$Z187-1,"")</f>
        <v/>
      </c>
      <c r="AE185" s="55" t="str">
        <f>IFERROR(Inv_SY!S187/Inv_SY!$Z187-1,"")</f>
        <v/>
      </c>
      <c r="AF185" s="55" t="str">
        <f>IFERROR(Inv_SY!T187/Inv_SY!$Z187-1,"")</f>
        <v/>
      </c>
      <c r="AG185" s="55" t="str">
        <f>IFERROR(Inv_SY!U187/Inv_SY!$Z187-1,"")</f>
        <v/>
      </c>
      <c r="AH185" s="55" t="str">
        <f>IFERROR(Inv_SY!V187/Inv_SY!$Y187-1,"")</f>
        <v/>
      </c>
      <c r="AI185" s="55" t="str">
        <f>IFERROR(Inv_SY!W187/Inv_SY!$Y187-1,"")</f>
        <v/>
      </c>
      <c r="AJ185" s="55" t="str">
        <f>IFERROR(Inv_SY!X187/Inv_SY!$Y187-1,"")</f>
        <v/>
      </c>
      <c r="AK185" s="55" t="str">
        <f>IFERROR(Inv_SY!V187/Inv_SY!$Z187-1,"")</f>
        <v/>
      </c>
      <c r="AL185" s="55" t="str">
        <f>IFERROR(Inv_SY!W187/Inv_SY!$Z187-1,"")</f>
        <v/>
      </c>
      <c r="AM185" s="55" t="str">
        <f>IFERROR(Inv_SY!X187/Inv_SY!$Z187-1,"")</f>
        <v/>
      </c>
    </row>
    <row r="186" spans="1:39" x14ac:dyDescent="0.3">
      <c r="A186" s="273">
        <f>YEAR(Table5[[#This Row],[Date]])+IF(MONTH(Table5[[#This Row],[Date]])&gt;=4,1,0)</f>
        <v>2026</v>
      </c>
      <c r="B186" s="273"/>
      <c r="C186" s="273">
        <f>YEAR(Table5[[#This Row],[Date]])</f>
        <v>2025</v>
      </c>
      <c r="D186" s="273"/>
      <c r="E186" s="273"/>
      <c r="F186" s="274" t="str">
        <f>TEXT(Table5[[#This Row],[Date]],"mmm-yy")</f>
        <v>Sep-25</v>
      </c>
      <c r="G186" s="273">
        <f t="shared" si="9"/>
        <v>30</v>
      </c>
      <c r="H186" s="275">
        <f t="shared" si="10"/>
        <v>45929</v>
      </c>
      <c r="I186" s="273">
        <v>8.02</v>
      </c>
      <c r="J186" s="55" t="str">
        <f>IFERROR(Inv_SY!J188/Inv_SY!$Y188-1,"")</f>
        <v/>
      </c>
      <c r="K186" s="55" t="str">
        <f>IFERROR(Inv_SY!K188/Inv_SY!$Y188-1,"")</f>
        <v/>
      </c>
      <c r="L186" s="55" t="str">
        <f>IFERROR(Inv_SY!L188/Inv_SY!$Y188-1,"")</f>
        <v/>
      </c>
      <c r="M186" s="55" t="str">
        <f>IFERROR(Inv_SY!M188/Inv_SY!$Y188-1,"")</f>
        <v/>
      </c>
      <c r="N186" s="55" t="str">
        <f>IFERROR(Inv_SY!N188/Inv_SY!$Y188-1,"")</f>
        <v/>
      </c>
      <c r="O186" s="55" t="str">
        <f>IFERROR(Inv_SY!O188/Inv_SY!$Y188-1,"")</f>
        <v/>
      </c>
      <c r="P186" s="55" t="str">
        <f>IFERROR(Inv_SY!P188/Inv_SY!$Y188-1,"")</f>
        <v/>
      </c>
      <c r="Q186" s="55" t="str">
        <f>IFERROR(Inv_SY!Q188/Inv_SY!$Y188-1,"")</f>
        <v/>
      </c>
      <c r="R186" s="55" t="str">
        <f>IFERROR(Inv_SY!R188/Inv_SY!$Y188-1,"")</f>
        <v/>
      </c>
      <c r="S186" s="55" t="str">
        <f>IFERROR(Inv_SY!S188/Inv_SY!$Y188-1,"")</f>
        <v/>
      </c>
      <c r="T186" s="55" t="str">
        <f>IFERROR(Inv_SY!T188/Inv_SY!$Y188-1,"")</f>
        <v/>
      </c>
      <c r="U186" s="55" t="str">
        <f>IFERROR(Inv_SY!U188/Inv_SY!$Y188-1,"")</f>
        <v/>
      </c>
      <c r="V186" s="55" t="str">
        <f>IFERROR(Inv_SY!J188/Inv_SY!$Z188-1,"")</f>
        <v/>
      </c>
      <c r="W186" s="55" t="str">
        <f>IFERROR(Inv_SY!K188/Inv_SY!$Z188-1,"")</f>
        <v/>
      </c>
      <c r="X186" s="55" t="str">
        <f>IFERROR(Inv_SY!L188/Inv_SY!$Z188-1,"")</f>
        <v/>
      </c>
      <c r="Y186" s="55" t="str">
        <f>IFERROR(Inv_SY!M188/Inv_SY!$Z188-1,"")</f>
        <v/>
      </c>
      <c r="Z186" s="55" t="str">
        <f>IFERROR(Inv_SY!N188/Inv_SY!$Z188-1,"")</f>
        <v/>
      </c>
      <c r="AA186" s="55" t="str">
        <f>IFERROR(Inv_SY!O188/Inv_SY!$Z188-1,"")</f>
        <v/>
      </c>
      <c r="AB186" s="55" t="str">
        <f>IFERROR(Inv_SY!P188/Inv_SY!$Z188-1,"")</f>
        <v/>
      </c>
      <c r="AC186" s="55" t="str">
        <f>IFERROR(Inv_SY!Q188/Inv_SY!$Z188-1,"")</f>
        <v/>
      </c>
      <c r="AD186" s="55" t="str">
        <f>IFERROR(Inv_SY!R188/Inv_SY!$Z188-1,"")</f>
        <v/>
      </c>
      <c r="AE186" s="55" t="str">
        <f>IFERROR(Inv_SY!S188/Inv_SY!$Z188-1,"")</f>
        <v/>
      </c>
      <c r="AF186" s="55" t="str">
        <f>IFERROR(Inv_SY!T188/Inv_SY!$Z188-1,"")</f>
        <v/>
      </c>
      <c r="AG186" s="55" t="str">
        <f>IFERROR(Inv_SY!U188/Inv_SY!$Z188-1,"")</f>
        <v/>
      </c>
      <c r="AH186" s="55" t="str">
        <f>IFERROR(Inv_SY!V188/Inv_SY!$Y188-1,"")</f>
        <v/>
      </c>
      <c r="AI186" s="55" t="str">
        <f>IFERROR(Inv_SY!W188/Inv_SY!$Y188-1,"")</f>
        <v/>
      </c>
      <c r="AJ186" s="55" t="str">
        <f>IFERROR(Inv_SY!X188/Inv_SY!$Y188-1,"")</f>
        <v/>
      </c>
      <c r="AK186" s="55" t="str">
        <f>IFERROR(Inv_SY!V188/Inv_SY!$Z188-1,"")</f>
        <v/>
      </c>
      <c r="AL186" s="55" t="str">
        <f>IFERROR(Inv_SY!W188/Inv_SY!$Z188-1,"")</f>
        <v/>
      </c>
      <c r="AM186" s="55" t="str">
        <f>IFERROR(Inv_SY!X188/Inv_SY!$Z188-1,"")</f>
        <v/>
      </c>
    </row>
    <row r="187" spans="1:39" x14ac:dyDescent="0.3">
      <c r="A187" s="273">
        <f>YEAR(Table5[[#This Row],[Date]])+IF(MONTH(Table5[[#This Row],[Date]])&gt;=4,1,0)</f>
        <v>2026</v>
      </c>
      <c r="B187" s="273"/>
      <c r="C187" s="273">
        <f>YEAR(Table5[[#This Row],[Date]])</f>
        <v>2025</v>
      </c>
      <c r="D187" s="273"/>
      <c r="E187" s="273"/>
      <c r="F187" s="274" t="str">
        <f>TEXT(Table5[[#This Row],[Date]],"mmm-yy")</f>
        <v>Sep-25</v>
      </c>
      <c r="G187" s="273">
        <f t="shared" si="9"/>
        <v>30</v>
      </c>
      <c r="H187" s="275">
        <f t="shared" si="10"/>
        <v>45930</v>
      </c>
      <c r="I187" s="273">
        <v>8.02</v>
      </c>
      <c r="J187" s="55" t="str">
        <f>IFERROR(Inv_SY!J189/Inv_SY!$Y189-1,"")</f>
        <v/>
      </c>
      <c r="K187" s="55" t="str">
        <f>IFERROR(Inv_SY!K189/Inv_SY!$Y189-1,"")</f>
        <v/>
      </c>
      <c r="L187" s="55" t="str">
        <f>IFERROR(Inv_SY!L189/Inv_SY!$Y189-1,"")</f>
        <v/>
      </c>
      <c r="M187" s="55" t="str">
        <f>IFERROR(Inv_SY!M189/Inv_SY!$Y189-1,"")</f>
        <v/>
      </c>
      <c r="N187" s="55" t="str">
        <f>IFERROR(Inv_SY!N189/Inv_SY!$Y189-1,"")</f>
        <v/>
      </c>
      <c r="O187" s="55" t="str">
        <f>IFERROR(Inv_SY!O189/Inv_SY!$Y189-1,"")</f>
        <v/>
      </c>
      <c r="P187" s="55" t="str">
        <f>IFERROR(Inv_SY!P189/Inv_SY!$Y189-1,"")</f>
        <v/>
      </c>
      <c r="Q187" s="55" t="str">
        <f>IFERROR(Inv_SY!Q189/Inv_SY!$Y189-1,"")</f>
        <v/>
      </c>
      <c r="R187" s="55" t="str">
        <f>IFERROR(Inv_SY!R189/Inv_SY!$Y189-1,"")</f>
        <v/>
      </c>
      <c r="S187" s="55" t="str">
        <f>IFERROR(Inv_SY!S189/Inv_SY!$Y189-1,"")</f>
        <v/>
      </c>
      <c r="T187" s="55" t="str">
        <f>IFERROR(Inv_SY!T189/Inv_SY!$Y189-1,"")</f>
        <v/>
      </c>
      <c r="U187" s="55" t="str">
        <f>IFERROR(Inv_SY!U189/Inv_SY!$Y189-1,"")</f>
        <v/>
      </c>
      <c r="V187" s="55" t="str">
        <f>IFERROR(Inv_SY!J189/Inv_SY!$Z189-1,"")</f>
        <v/>
      </c>
      <c r="W187" s="55" t="str">
        <f>IFERROR(Inv_SY!K189/Inv_SY!$Z189-1,"")</f>
        <v/>
      </c>
      <c r="X187" s="55" t="str">
        <f>IFERROR(Inv_SY!L189/Inv_SY!$Z189-1,"")</f>
        <v/>
      </c>
      <c r="Y187" s="55" t="str">
        <f>IFERROR(Inv_SY!M189/Inv_SY!$Z189-1,"")</f>
        <v/>
      </c>
      <c r="Z187" s="55" t="str">
        <f>IFERROR(Inv_SY!N189/Inv_SY!$Z189-1,"")</f>
        <v/>
      </c>
      <c r="AA187" s="55" t="str">
        <f>IFERROR(Inv_SY!O189/Inv_SY!$Z189-1,"")</f>
        <v/>
      </c>
      <c r="AB187" s="55" t="str">
        <f>IFERROR(Inv_SY!P189/Inv_SY!$Z189-1,"")</f>
        <v/>
      </c>
      <c r="AC187" s="55" t="str">
        <f>IFERROR(Inv_SY!Q189/Inv_SY!$Z189-1,"")</f>
        <v/>
      </c>
      <c r="AD187" s="55" t="str">
        <f>IFERROR(Inv_SY!R189/Inv_SY!$Z189-1,"")</f>
        <v/>
      </c>
      <c r="AE187" s="55" t="str">
        <f>IFERROR(Inv_SY!S189/Inv_SY!$Z189-1,"")</f>
        <v/>
      </c>
      <c r="AF187" s="55" t="str">
        <f>IFERROR(Inv_SY!T189/Inv_SY!$Z189-1,"")</f>
        <v/>
      </c>
      <c r="AG187" s="55" t="str">
        <f>IFERROR(Inv_SY!U189/Inv_SY!$Z189-1,"")</f>
        <v/>
      </c>
      <c r="AH187" s="55" t="str">
        <f>IFERROR(Inv_SY!V189/Inv_SY!$Y189-1,"")</f>
        <v/>
      </c>
      <c r="AI187" s="55" t="str">
        <f>IFERROR(Inv_SY!W189/Inv_SY!$Y189-1,"")</f>
        <v/>
      </c>
      <c r="AJ187" s="55" t="str">
        <f>IFERROR(Inv_SY!X189/Inv_SY!$Y189-1,"")</f>
        <v/>
      </c>
      <c r="AK187" s="55" t="str">
        <f>IFERROR(Inv_SY!V189/Inv_SY!$Z189-1,"")</f>
        <v/>
      </c>
      <c r="AL187" s="55" t="str">
        <f>IFERROR(Inv_SY!W189/Inv_SY!$Z189-1,"")</f>
        <v/>
      </c>
      <c r="AM187" s="55" t="str">
        <f>IFERROR(Inv_SY!X189/Inv_SY!$Z189-1,"")</f>
        <v/>
      </c>
    </row>
    <row r="188" spans="1:39" x14ac:dyDescent="0.3">
      <c r="A188" s="273">
        <f>YEAR(Table5[[#This Row],[Date]])+IF(MONTH(Table5[[#This Row],[Date]])&gt;=4,1,0)</f>
        <v>2026</v>
      </c>
      <c r="B188" s="273"/>
      <c r="C188" s="273">
        <f>YEAR(Table5[[#This Row],[Date]])</f>
        <v>2025</v>
      </c>
      <c r="D188" s="273"/>
      <c r="E188" s="273"/>
      <c r="F188" s="274" t="str">
        <f>TEXT(Table5[[#This Row],[Date]],"mmm-yy")</f>
        <v>Oct-25</v>
      </c>
      <c r="G188" s="273">
        <f t="shared" si="9"/>
        <v>31</v>
      </c>
      <c r="H188" s="275">
        <f t="shared" si="10"/>
        <v>45931</v>
      </c>
      <c r="I188" s="273">
        <v>8.02</v>
      </c>
      <c r="J188" s="55" t="str">
        <f>IFERROR(Inv_SY!J190/Inv_SY!$Y190-1,"")</f>
        <v/>
      </c>
      <c r="K188" s="55" t="str">
        <f>IFERROR(Inv_SY!K190/Inv_SY!$Y190-1,"")</f>
        <v/>
      </c>
      <c r="L188" s="55" t="str">
        <f>IFERROR(Inv_SY!L190/Inv_SY!$Y190-1,"")</f>
        <v/>
      </c>
      <c r="M188" s="55" t="str">
        <f>IFERROR(Inv_SY!M190/Inv_SY!$Y190-1,"")</f>
        <v/>
      </c>
      <c r="N188" s="55" t="str">
        <f>IFERROR(Inv_SY!N190/Inv_SY!$Y190-1,"")</f>
        <v/>
      </c>
      <c r="O188" s="55" t="str">
        <f>IFERROR(Inv_SY!O190/Inv_SY!$Y190-1,"")</f>
        <v/>
      </c>
      <c r="P188" s="55" t="str">
        <f>IFERROR(Inv_SY!P190/Inv_SY!$Y190-1,"")</f>
        <v/>
      </c>
      <c r="Q188" s="55" t="str">
        <f>IFERROR(Inv_SY!Q190/Inv_SY!$Y190-1,"")</f>
        <v/>
      </c>
      <c r="R188" s="55" t="str">
        <f>IFERROR(Inv_SY!R190/Inv_SY!$Y190-1,"")</f>
        <v/>
      </c>
      <c r="S188" s="55" t="str">
        <f>IFERROR(Inv_SY!S190/Inv_SY!$Y190-1,"")</f>
        <v/>
      </c>
      <c r="T188" s="55" t="str">
        <f>IFERROR(Inv_SY!T190/Inv_SY!$Y190-1,"")</f>
        <v/>
      </c>
      <c r="U188" s="55" t="str">
        <f>IFERROR(Inv_SY!U190/Inv_SY!$Y190-1,"")</f>
        <v/>
      </c>
      <c r="V188" s="55" t="str">
        <f>IFERROR(Inv_SY!J190/Inv_SY!$Z190-1,"")</f>
        <v/>
      </c>
      <c r="W188" s="55" t="str">
        <f>IFERROR(Inv_SY!K190/Inv_SY!$Z190-1,"")</f>
        <v/>
      </c>
      <c r="X188" s="55" t="str">
        <f>IFERROR(Inv_SY!L190/Inv_SY!$Z190-1,"")</f>
        <v/>
      </c>
      <c r="Y188" s="55" t="str">
        <f>IFERROR(Inv_SY!M190/Inv_SY!$Z190-1,"")</f>
        <v/>
      </c>
      <c r="Z188" s="55" t="str">
        <f>IFERROR(Inv_SY!N190/Inv_SY!$Z190-1,"")</f>
        <v/>
      </c>
      <c r="AA188" s="55" t="str">
        <f>IFERROR(Inv_SY!O190/Inv_SY!$Z190-1,"")</f>
        <v/>
      </c>
      <c r="AB188" s="55" t="str">
        <f>IFERROR(Inv_SY!P190/Inv_SY!$Z190-1,"")</f>
        <v/>
      </c>
      <c r="AC188" s="55" t="str">
        <f>IFERROR(Inv_SY!Q190/Inv_SY!$Z190-1,"")</f>
        <v/>
      </c>
      <c r="AD188" s="55" t="str">
        <f>IFERROR(Inv_SY!R190/Inv_SY!$Z190-1,"")</f>
        <v/>
      </c>
      <c r="AE188" s="55" t="str">
        <f>IFERROR(Inv_SY!S190/Inv_SY!$Z190-1,"")</f>
        <v/>
      </c>
      <c r="AF188" s="55" t="str">
        <f>IFERROR(Inv_SY!T190/Inv_SY!$Z190-1,"")</f>
        <v/>
      </c>
      <c r="AG188" s="55" t="str">
        <f>IFERROR(Inv_SY!U190/Inv_SY!$Z190-1,"")</f>
        <v/>
      </c>
      <c r="AH188" s="55" t="str">
        <f>IFERROR(Inv_SY!V190/Inv_SY!$Y190-1,"")</f>
        <v/>
      </c>
      <c r="AI188" s="55" t="str">
        <f>IFERROR(Inv_SY!W190/Inv_SY!$Y190-1,"")</f>
        <v/>
      </c>
      <c r="AJ188" s="55" t="str">
        <f>IFERROR(Inv_SY!X190/Inv_SY!$Y190-1,"")</f>
        <v/>
      </c>
      <c r="AK188" s="55" t="str">
        <f>IFERROR(Inv_SY!V190/Inv_SY!$Z190-1,"")</f>
        <v/>
      </c>
      <c r="AL188" s="55" t="str">
        <f>IFERROR(Inv_SY!W190/Inv_SY!$Z190-1,"")</f>
        <v/>
      </c>
      <c r="AM188" s="55" t="str">
        <f>IFERROR(Inv_SY!X190/Inv_SY!$Z190-1,"")</f>
        <v/>
      </c>
    </row>
    <row r="189" spans="1:39" x14ac:dyDescent="0.3">
      <c r="A189" s="273">
        <f>YEAR(Table5[[#This Row],[Date]])+IF(MONTH(Table5[[#This Row],[Date]])&gt;=4,1,0)</f>
        <v>2026</v>
      </c>
      <c r="B189" s="273"/>
      <c r="C189" s="273">
        <f>YEAR(Table5[[#This Row],[Date]])</f>
        <v>2025</v>
      </c>
      <c r="D189" s="273"/>
      <c r="E189" s="273"/>
      <c r="F189" s="274" t="str">
        <f>TEXT(Table5[[#This Row],[Date]],"mmm-yy")</f>
        <v>Oct-25</v>
      </c>
      <c r="G189" s="273">
        <f t="shared" si="9"/>
        <v>31</v>
      </c>
      <c r="H189" s="275">
        <f t="shared" si="10"/>
        <v>45932</v>
      </c>
      <c r="I189" s="273">
        <v>8.02</v>
      </c>
      <c r="J189" s="55" t="str">
        <f>IFERROR(Inv_SY!J191/Inv_SY!$Y191-1,"")</f>
        <v/>
      </c>
      <c r="K189" s="55" t="str">
        <f>IFERROR(Inv_SY!K191/Inv_SY!$Y191-1,"")</f>
        <v/>
      </c>
      <c r="L189" s="55" t="str">
        <f>IFERROR(Inv_SY!L191/Inv_SY!$Y191-1,"")</f>
        <v/>
      </c>
      <c r="M189" s="55" t="str">
        <f>IFERROR(Inv_SY!M191/Inv_SY!$Y191-1,"")</f>
        <v/>
      </c>
      <c r="N189" s="55" t="str">
        <f>IFERROR(Inv_SY!N191/Inv_SY!$Y191-1,"")</f>
        <v/>
      </c>
      <c r="O189" s="55" t="str">
        <f>IFERROR(Inv_SY!O191/Inv_SY!$Y191-1,"")</f>
        <v/>
      </c>
      <c r="P189" s="55" t="str">
        <f>IFERROR(Inv_SY!P191/Inv_SY!$Y191-1,"")</f>
        <v/>
      </c>
      <c r="Q189" s="55" t="str">
        <f>IFERROR(Inv_SY!Q191/Inv_SY!$Y191-1,"")</f>
        <v/>
      </c>
      <c r="R189" s="55" t="str">
        <f>IFERROR(Inv_SY!R191/Inv_SY!$Y191-1,"")</f>
        <v/>
      </c>
      <c r="S189" s="55" t="str">
        <f>IFERROR(Inv_SY!S191/Inv_SY!$Y191-1,"")</f>
        <v/>
      </c>
      <c r="T189" s="55" t="str">
        <f>IFERROR(Inv_SY!T191/Inv_SY!$Y191-1,"")</f>
        <v/>
      </c>
      <c r="U189" s="55" t="str">
        <f>IFERROR(Inv_SY!U191/Inv_SY!$Y191-1,"")</f>
        <v/>
      </c>
      <c r="V189" s="55" t="str">
        <f>IFERROR(Inv_SY!J191/Inv_SY!$Z191-1,"")</f>
        <v/>
      </c>
      <c r="W189" s="55" t="str">
        <f>IFERROR(Inv_SY!K191/Inv_SY!$Z191-1,"")</f>
        <v/>
      </c>
      <c r="X189" s="55" t="str">
        <f>IFERROR(Inv_SY!L191/Inv_SY!$Z191-1,"")</f>
        <v/>
      </c>
      <c r="Y189" s="55" t="str">
        <f>IFERROR(Inv_SY!M191/Inv_SY!$Z191-1,"")</f>
        <v/>
      </c>
      <c r="Z189" s="55" t="str">
        <f>IFERROR(Inv_SY!N191/Inv_SY!$Z191-1,"")</f>
        <v/>
      </c>
      <c r="AA189" s="55" t="str">
        <f>IFERROR(Inv_SY!O191/Inv_SY!$Z191-1,"")</f>
        <v/>
      </c>
      <c r="AB189" s="55" t="str">
        <f>IFERROR(Inv_SY!P191/Inv_SY!$Z191-1,"")</f>
        <v/>
      </c>
      <c r="AC189" s="55" t="str">
        <f>IFERROR(Inv_SY!Q191/Inv_SY!$Z191-1,"")</f>
        <v/>
      </c>
      <c r="AD189" s="55" t="str">
        <f>IFERROR(Inv_SY!R191/Inv_SY!$Z191-1,"")</f>
        <v/>
      </c>
      <c r="AE189" s="55" t="str">
        <f>IFERROR(Inv_SY!S191/Inv_SY!$Z191-1,"")</f>
        <v/>
      </c>
      <c r="AF189" s="55" t="str">
        <f>IFERROR(Inv_SY!T191/Inv_SY!$Z191-1,"")</f>
        <v/>
      </c>
      <c r="AG189" s="55" t="str">
        <f>IFERROR(Inv_SY!U191/Inv_SY!$Z191-1,"")</f>
        <v/>
      </c>
      <c r="AH189" s="55" t="str">
        <f>IFERROR(Inv_SY!V191/Inv_SY!$Y191-1,"")</f>
        <v/>
      </c>
      <c r="AI189" s="55" t="str">
        <f>IFERROR(Inv_SY!W191/Inv_SY!$Y191-1,"")</f>
        <v/>
      </c>
      <c r="AJ189" s="55" t="str">
        <f>IFERROR(Inv_SY!X191/Inv_SY!$Y191-1,"")</f>
        <v/>
      </c>
      <c r="AK189" s="55" t="str">
        <f>IFERROR(Inv_SY!V191/Inv_SY!$Z191-1,"")</f>
        <v/>
      </c>
      <c r="AL189" s="55" t="str">
        <f>IFERROR(Inv_SY!W191/Inv_SY!$Z191-1,"")</f>
        <v/>
      </c>
      <c r="AM189" s="55" t="str">
        <f>IFERROR(Inv_SY!X191/Inv_SY!$Z191-1,"")</f>
        <v/>
      </c>
    </row>
    <row r="190" spans="1:39" x14ac:dyDescent="0.3">
      <c r="A190" s="273">
        <f>YEAR(Table5[[#This Row],[Date]])+IF(MONTH(Table5[[#This Row],[Date]])&gt;=4,1,0)</f>
        <v>2026</v>
      </c>
      <c r="B190" s="273"/>
      <c r="C190" s="273">
        <f>YEAR(Table5[[#This Row],[Date]])</f>
        <v>2025</v>
      </c>
      <c r="D190" s="273"/>
      <c r="E190" s="273"/>
      <c r="F190" s="274" t="str">
        <f>TEXT(Table5[[#This Row],[Date]],"mmm-yy")</f>
        <v>Oct-25</v>
      </c>
      <c r="G190" s="273">
        <f t="shared" si="9"/>
        <v>31</v>
      </c>
      <c r="H190" s="275">
        <f t="shared" si="10"/>
        <v>45933</v>
      </c>
      <c r="I190" s="273">
        <v>8.02</v>
      </c>
      <c r="J190" s="55" t="str">
        <f>IFERROR(Inv_SY!J192/Inv_SY!$Y192-1,"")</f>
        <v/>
      </c>
      <c r="K190" s="55" t="str">
        <f>IFERROR(Inv_SY!K192/Inv_SY!$Y192-1,"")</f>
        <v/>
      </c>
      <c r="L190" s="55" t="str">
        <f>IFERROR(Inv_SY!L192/Inv_SY!$Y192-1,"")</f>
        <v/>
      </c>
      <c r="M190" s="55" t="str">
        <f>IFERROR(Inv_SY!M192/Inv_SY!$Y192-1,"")</f>
        <v/>
      </c>
      <c r="N190" s="55" t="str">
        <f>IFERROR(Inv_SY!N192/Inv_SY!$Y192-1,"")</f>
        <v/>
      </c>
      <c r="O190" s="55" t="str">
        <f>IFERROR(Inv_SY!O192/Inv_SY!$Y192-1,"")</f>
        <v/>
      </c>
      <c r="P190" s="55" t="str">
        <f>IFERROR(Inv_SY!P192/Inv_SY!$Y192-1,"")</f>
        <v/>
      </c>
      <c r="Q190" s="55" t="str">
        <f>IFERROR(Inv_SY!Q192/Inv_SY!$Y192-1,"")</f>
        <v/>
      </c>
      <c r="R190" s="55" t="str">
        <f>IFERROR(Inv_SY!R192/Inv_SY!$Y192-1,"")</f>
        <v/>
      </c>
      <c r="S190" s="55" t="str">
        <f>IFERROR(Inv_SY!S192/Inv_SY!$Y192-1,"")</f>
        <v/>
      </c>
      <c r="T190" s="55" t="str">
        <f>IFERROR(Inv_SY!T192/Inv_SY!$Y192-1,"")</f>
        <v/>
      </c>
      <c r="U190" s="55" t="str">
        <f>IFERROR(Inv_SY!U192/Inv_SY!$Y192-1,"")</f>
        <v/>
      </c>
      <c r="V190" s="55" t="str">
        <f>IFERROR(Inv_SY!J192/Inv_SY!$Z192-1,"")</f>
        <v/>
      </c>
      <c r="W190" s="55" t="str">
        <f>IFERROR(Inv_SY!K192/Inv_SY!$Z192-1,"")</f>
        <v/>
      </c>
      <c r="X190" s="55" t="str">
        <f>IFERROR(Inv_SY!L192/Inv_SY!$Z192-1,"")</f>
        <v/>
      </c>
      <c r="Y190" s="55" t="str">
        <f>IFERROR(Inv_SY!M192/Inv_SY!$Z192-1,"")</f>
        <v/>
      </c>
      <c r="Z190" s="55" t="str">
        <f>IFERROR(Inv_SY!N192/Inv_SY!$Z192-1,"")</f>
        <v/>
      </c>
      <c r="AA190" s="55" t="str">
        <f>IFERROR(Inv_SY!O192/Inv_SY!$Z192-1,"")</f>
        <v/>
      </c>
      <c r="AB190" s="55" t="str">
        <f>IFERROR(Inv_SY!P192/Inv_SY!$Z192-1,"")</f>
        <v/>
      </c>
      <c r="AC190" s="55" t="str">
        <f>IFERROR(Inv_SY!Q192/Inv_SY!$Z192-1,"")</f>
        <v/>
      </c>
      <c r="AD190" s="55" t="str">
        <f>IFERROR(Inv_SY!R192/Inv_SY!$Z192-1,"")</f>
        <v/>
      </c>
      <c r="AE190" s="55" t="str">
        <f>IFERROR(Inv_SY!S192/Inv_SY!$Z192-1,"")</f>
        <v/>
      </c>
      <c r="AF190" s="55" t="str">
        <f>IFERROR(Inv_SY!T192/Inv_SY!$Z192-1,"")</f>
        <v/>
      </c>
      <c r="AG190" s="55" t="str">
        <f>IFERROR(Inv_SY!U192/Inv_SY!$Z192-1,"")</f>
        <v/>
      </c>
      <c r="AH190" s="55" t="str">
        <f>IFERROR(Inv_SY!V192/Inv_SY!$Y192-1,"")</f>
        <v/>
      </c>
      <c r="AI190" s="55" t="str">
        <f>IFERROR(Inv_SY!W192/Inv_SY!$Y192-1,"")</f>
        <v/>
      </c>
      <c r="AJ190" s="55" t="str">
        <f>IFERROR(Inv_SY!X192/Inv_SY!$Y192-1,"")</f>
        <v/>
      </c>
      <c r="AK190" s="55" t="str">
        <f>IFERROR(Inv_SY!V192/Inv_SY!$Z192-1,"")</f>
        <v/>
      </c>
      <c r="AL190" s="55" t="str">
        <f>IFERROR(Inv_SY!W192/Inv_SY!$Z192-1,"")</f>
        <v/>
      </c>
      <c r="AM190" s="55" t="str">
        <f>IFERROR(Inv_SY!X192/Inv_SY!$Z192-1,"")</f>
        <v/>
      </c>
    </row>
    <row r="191" spans="1:39" x14ac:dyDescent="0.3">
      <c r="A191" s="273">
        <f>YEAR(Table5[[#This Row],[Date]])+IF(MONTH(Table5[[#This Row],[Date]])&gt;=4,1,0)</f>
        <v>2026</v>
      </c>
      <c r="B191" s="273"/>
      <c r="C191" s="273">
        <f>YEAR(Table5[[#This Row],[Date]])</f>
        <v>2025</v>
      </c>
      <c r="D191" s="273"/>
      <c r="E191" s="273"/>
      <c r="F191" s="274" t="str">
        <f>TEXT(Table5[[#This Row],[Date]],"mmm-yy")</f>
        <v>Oct-25</v>
      </c>
      <c r="G191" s="273">
        <f t="shared" si="9"/>
        <v>31</v>
      </c>
      <c r="H191" s="275">
        <f t="shared" si="10"/>
        <v>45934</v>
      </c>
      <c r="I191" s="273">
        <v>8.02</v>
      </c>
      <c r="J191" s="55" t="str">
        <f>IFERROR(Inv_SY!J193/Inv_SY!$Y193-1,"")</f>
        <v/>
      </c>
      <c r="K191" s="55" t="str">
        <f>IFERROR(Inv_SY!K193/Inv_SY!$Y193-1,"")</f>
        <v/>
      </c>
      <c r="L191" s="55" t="str">
        <f>IFERROR(Inv_SY!L193/Inv_SY!$Y193-1,"")</f>
        <v/>
      </c>
      <c r="M191" s="55" t="str">
        <f>IFERROR(Inv_SY!M193/Inv_SY!$Y193-1,"")</f>
        <v/>
      </c>
      <c r="N191" s="55" t="str">
        <f>IFERROR(Inv_SY!N193/Inv_SY!$Y193-1,"")</f>
        <v/>
      </c>
      <c r="O191" s="55" t="str">
        <f>IFERROR(Inv_SY!O193/Inv_SY!$Y193-1,"")</f>
        <v/>
      </c>
      <c r="P191" s="55" t="str">
        <f>IFERROR(Inv_SY!P193/Inv_SY!$Y193-1,"")</f>
        <v/>
      </c>
      <c r="Q191" s="55" t="str">
        <f>IFERROR(Inv_SY!Q193/Inv_SY!$Y193-1,"")</f>
        <v/>
      </c>
      <c r="R191" s="55" t="str">
        <f>IFERROR(Inv_SY!R193/Inv_SY!$Y193-1,"")</f>
        <v/>
      </c>
      <c r="S191" s="55" t="str">
        <f>IFERROR(Inv_SY!S193/Inv_SY!$Y193-1,"")</f>
        <v/>
      </c>
      <c r="T191" s="55" t="str">
        <f>IFERROR(Inv_SY!T193/Inv_SY!$Y193-1,"")</f>
        <v/>
      </c>
      <c r="U191" s="55" t="str">
        <f>IFERROR(Inv_SY!U193/Inv_SY!$Y193-1,"")</f>
        <v/>
      </c>
      <c r="V191" s="55" t="str">
        <f>IFERROR(Inv_SY!J193/Inv_SY!$Z193-1,"")</f>
        <v/>
      </c>
      <c r="W191" s="55" t="str">
        <f>IFERROR(Inv_SY!K193/Inv_SY!$Z193-1,"")</f>
        <v/>
      </c>
      <c r="X191" s="55" t="str">
        <f>IFERROR(Inv_SY!L193/Inv_SY!$Z193-1,"")</f>
        <v/>
      </c>
      <c r="Y191" s="55" t="str">
        <f>IFERROR(Inv_SY!M193/Inv_SY!$Z193-1,"")</f>
        <v/>
      </c>
      <c r="Z191" s="55" t="str">
        <f>IFERROR(Inv_SY!N193/Inv_SY!$Z193-1,"")</f>
        <v/>
      </c>
      <c r="AA191" s="55" t="str">
        <f>IFERROR(Inv_SY!O193/Inv_SY!$Z193-1,"")</f>
        <v/>
      </c>
      <c r="AB191" s="55" t="str">
        <f>IFERROR(Inv_SY!P193/Inv_SY!$Z193-1,"")</f>
        <v/>
      </c>
      <c r="AC191" s="55" t="str">
        <f>IFERROR(Inv_SY!Q193/Inv_SY!$Z193-1,"")</f>
        <v/>
      </c>
      <c r="AD191" s="55" t="str">
        <f>IFERROR(Inv_SY!R193/Inv_SY!$Z193-1,"")</f>
        <v/>
      </c>
      <c r="AE191" s="55" t="str">
        <f>IFERROR(Inv_SY!S193/Inv_SY!$Z193-1,"")</f>
        <v/>
      </c>
      <c r="AF191" s="55" t="str">
        <f>IFERROR(Inv_SY!T193/Inv_SY!$Z193-1,"")</f>
        <v/>
      </c>
      <c r="AG191" s="55" t="str">
        <f>IFERROR(Inv_SY!U193/Inv_SY!$Z193-1,"")</f>
        <v/>
      </c>
      <c r="AH191" s="55" t="str">
        <f>IFERROR(Inv_SY!V193/Inv_SY!$Y193-1,"")</f>
        <v/>
      </c>
      <c r="AI191" s="55" t="str">
        <f>IFERROR(Inv_SY!W193/Inv_SY!$Y193-1,"")</f>
        <v/>
      </c>
      <c r="AJ191" s="55" t="str">
        <f>IFERROR(Inv_SY!X193/Inv_SY!$Y193-1,"")</f>
        <v/>
      </c>
      <c r="AK191" s="55" t="str">
        <f>IFERROR(Inv_SY!V193/Inv_SY!$Z193-1,"")</f>
        <v/>
      </c>
      <c r="AL191" s="55" t="str">
        <f>IFERROR(Inv_SY!W193/Inv_SY!$Z193-1,"")</f>
        <v/>
      </c>
      <c r="AM191" s="55" t="str">
        <f>IFERROR(Inv_SY!X193/Inv_SY!$Z193-1,"")</f>
        <v/>
      </c>
    </row>
    <row r="192" spans="1:39" x14ac:dyDescent="0.3">
      <c r="A192" s="273">
        <f>YEAR(Table5[[#This Row],[Date]])+IF(MONTH(Table5[[#This Row],[Date]])&gt;=4,1,0)</f>
        <v>2026</v>
      </c>
      <c r="B192" s="273"/>
      <c r="C192" s="273">
        <f>YEAR(Table5[[#This Row],[Date]])</f>
        <v>2025</v>
      </c>
      <c r="D192" s="273"/>
      <c r="E192" s="273"/>
      <c r="F192" s="274" t="str">
        <f>TEXT(Table5[[#This Row],[Date]],"mmm-yy")</f>
        <v>Oct-25</v>
      </c>
      <c r="G192" s="273">
        <f t="shared" si="9"/>
        <v>31</v>
      </c>
      <c r="H192" s="275">
        <f t="shared" si="10"/>
        <v>45935</v>
      </c>
      <c r="I192" s="273">
        <v>8.02</v>
      </c>
      <c r="J192" s="55" t="str">
        <f>IFERROR(Inv_SY!J194/Inv_SY!$Y194-1,"")</f>
        <v/>
      </c>
      <c r="K192" s="55" t="str">
        <f>IFERROR(Inv_SY!K194/Inv_SY!$Y194-1,"")</f>
        <v/>
      </c>
      <c r="L192" s="55" t="str">
        <f>IFERROR(Inv_SY!L194/Inv_SY!$Y194-1,"")</f>
        <v/>
      </c>
      <c r="M192" s="55" t="str">
        <f>IFERROR(Inv_SY!M194/Inv_SY!$Y194-1,"")</f>
        <v/>
      </c>
      <c r="N192" s="55" t="str">
        <f>IFERROR(Inv_SY!N194/Inv_SY!$Y194-1,"")</f>
        <v/>
      </c>
      <c r="O192" s="55" t="str">
        <f>IFERROR(Inv_SY!O194/Inv_SY!$Y194-1,"")</f>
        <v/>
      </c>
      <c r="P192" s="55" t="str">
        <f>IFERROR(Inv_SY!P194/Inv_SY!$Y194-1,"")</f>
        <v/>
      </c>
      <c r="Q192" s="55" t="str">
        <f>IFERROR(Inv_SY!Q194/Inv_SY!$Y194-1,"")</f>
        <v/>
      </c>
      <c r="R192" s="55" t="str">
        <f>IFERROR(Inv_SY!R194/Inv_SY!$Y194-1,"")</f>
        <v/>
      </c>
      <c r="S192" s="55" t="str">
        <f>IFERROR(Inv_SY!S194/Inv_SY!$Y194-1,"")</f>
        <v/>
      </c>
      <c r="T192" s="55" t="str">
        <f>IFERROR(Inv_SY!T194/Inv_SY!$Y194-1,"")</f>
        <v/>
      </c>
      <c r="U192" s="55" t="str">
        <f>IFERROR(Inv_SY!U194/Inv_SY!$Y194-1,"")</f>
        <v/>
      </c>
      <c r="V192" s="55" t="str">
        <f>IFERROR(Inv_SY!J194/Inv_SY!$Z194-1,"")</f>
        <v/>
      </c>
      <c r="W192" s="55" t="str">
        <f>IFERROR(Inv_SY!K194/Inv_SY!$Z194-1,"")</f>
        <v/>
      </c>
      <c r="X192" s="55" t="str">
        <f>IFERROR(Inv_SY!L194/Inv_SY!$Z194-1,"")</f>
        <v/>
      </c>
      <c r="Y192" s="55" t="str">
        <f>IFERROR(Inv_SY!M194/Inv_SY!$Z194-1,"")</f>
        <v/>
      </c>
      <c r="Z192" s="55" t="str">
        <f>IFERROR(Inv_SY!N194/Inv_SY!$Z194-1,"")</f>
        <v/>
      </c>
      <c r="AA192" s="55" t="str">
        <f>IFERROR(Inv_SY!O194/Inv_SY!$Z194-1,"")</f>
        <v/>
      </c>
      <c r="AB192" s="55" t="str">
        <f>IFERROR(Inv_SY!P194/Inv_SY!$Z194-1,"")</f>
        <v/>
      </c>
      <c r="AC192" s="55" t="str">
        <f>IFERROR(Inv_SY!Q194/Inv_SY!$Z194-1,"")</f>
        <v/>
      </c>
      <c r="AD192" s="55" t="str">
        <f>IFERROR(Inv_SY!R194/Inv_SY!$Z194-1,"")</f>
        <v/>
      </c>
      <c r="AE192" s="55" t="str">
        <f>IFERROR(Inv_SY!S194/Inv_SY!$Z194-1,"")</f>
        <v/>
      </c>
      <c r="AF192" s="55" t="str">
        <f>IFERROR(Inv_SY!T194/Inv_SY!$Z194-1,"")</f>
        <v/>
      </c>
      <c r="AG192" s="55" t="str">
        <f>IFERROR(Inv_SY!U194/Inv_SY!$Z194-1,"")</f>
        <v/>
      </c>
      <c r="AH192" s="55" t="str">
        <f>IFERROR(Inv_SY!V194/Inv_SY!$Y194-1,"")</f>
        <v/>
      </c>
      <c r="AI192" s="55" t="str">
        <f>IFERROR(Inv_SY!W194/Inv_SY!$Y194-1,"")</f>
        <v/>
      </c>
      <c r="AJ192" s="55" t="str">
        <f>IFERROR(Inv_SY!X194/Inv_SY!$Y194-1,"")</f>
        <v/>
      </c>
      <c r="AK192" s="55" t="str">
        <f>IFERROR(Inv_SY!V194/Inv_SY!$Z194-1,"")</f>
        <v/>
      </c>
      <c r="AL192" s="55" t="str">
        <f>IFERROR(Inv_SY!W194/Inv_SY!$Z194-1,"")</f>
        <v/>
      </c>
      <c r="AM192" s="55" t="str">
        <f>IFERROR(Inv_SY!X194/Inv_SY!$Z194-1,"")</f>
        <v/>
      </c>
    </row>
    <row r="193" spans="1:39" x14ac:dyDescent="0.3">
      <c r="A193" s="273">
        <f>YEAR(Table5[[#This Row],[Date]])+IF(MONTH(Table5[[#This Row],[Date]])&gt;=4,1,0)</f>
        <v>2026</v>
      </c>
      <c r="B193" s="273"/>
      <c r="C193" s="273">
        <f>YEAR(Table5[[#This Row],[Date]])</f>
        <v>2025</v>
      </c>
      <c r="D193" s="273"/>
      <c r="E193" s="273"/>
      <c r="F193" s="274" t="str">
        <f>TEXT(Table5[[#This Row],[Date]],"mmm-yy")</f>
        <v>Oct-25</v>
      </c>
      <c r="G193" s="273">
        <f t="shared" si="9"/>
        <v>31</v>
      </c>
      <c r="H193" s="275">
        <f t="shared" si="10"/>
        <v>45936</v>
      </c>
      <c r="I193" s="273">
        <v>8.02</v>
      </c>
      <c r="J193" s="55" t="str">
        <f>IFERROR(Inv_SY!J195/Inv_SY!$Y195-1,"")</f>
        <v/>
      </c>
      <c r="K193" s="55" t="str">
        <f>IFERROR(Inv_SY!K195/Inv_SY!$Y195-1,"")</f>
        <v/>
      </c>
      <c r="L193" s="55" t="str">
        <f>IFERROR(Inv_SY!L195/Inv_SY!$Y195-1,"")</f>
        <v/>
      </c>
      <c r="M193" s="55" t="str">
        <f>IFERROR(Inv_SY!M195/Inv_SY!$Y195-1,"")</f>
        <v/>
      </c>
      <c r="N193" s="55" t="str">
        <f>IFERROR(Inv_SY!N195/Inv_SY!$Y195-1,"")</f>
        <v/>
      </c>
      <c r="O193" s="55" t="str">
        <f>IFERROR(Inv_SY!O195/Inv_SY!$Y195-1,"")</f>
        <v/>
      </c>
      <c r="P193" s="55" t="str">
        <f>IFERROR(Inv_SY!P195/Inv_SY!$Y195-1,"")</f>
        <v/>
      </c>
      <c r="Q193" s="55" t="str">
        <f>IFERROR(Inv_SY!Q195/Inv_SY!$Y195-1,"")</f>
        <v/>
      </c>
      <c r="R193" s="55" t="str">
        <f>IFERROR(Inv_SY!R195/Inv_SY!$Y195-1,"")</f>
        <v/>
      </c>
      <c r="S193" s="55" t="str">
        <f>IFERROR(Inv_SY!S195/Inv_SY!$Y195-1,"")</f>
        <v/>
      </c>
      <c r="T193" s="55" t="str">
        <f>IFERROR(Inv_SY!T195/Inv_SY!$Y195-1,"")</f>
        <v/>
      </c>
      <c r="U193" s="55" t="str">
        <f>IFERROR(Inv_SY!U195/Inv_SY!$Y195-1,"")</f>
        <v/>
      </c>
      <c r="V193" s="55" t="str">
        <f>IFERROR(Inv_SY!J195/Inv_SY!$Z195-1,"")</f>
        <v/>
      </c>
      <c r="W193" s="55" t="str">
        <f>IFERROR(Inv_SY!K195/Inv_SY!$Z195-1,"")</f>
        <v/>
      </c>
      <c r="X193" s="55" t="str">
        <f>IFERROR(Inv_SY!L195/Inv_SY!$Z195-1,"")</f>
        <v/>
      </c>
      <c r="Y193" s="55" t="str">
        <f>IFERROR(Inv_SY!M195/Inv_SY!$Z195-1,"")</f>
        <v/>
      </c>
      <c r="Z193" s="55" t="str">
        <f>IFERROR(Inv_SY!N195/Inv_SY!$Z195-1,"")</f>
        <v/>
      </c>
      <c r="AA193" s="55" t="str">
        <f>IFERROR(Inv_SY!O195/Inv_SY!$Z195-1,"")</f>
        <v/>
      </c>
      <c r="AB193" s="55" t="str">
        <f>IFERROR(Inv_SY!P195/Inv_SY!$Z195-1,"")</f>
        <v/>
      </c>
      <c r="AC193" s="55" t="str">
        <f>IFERROR(Inv_SY!Q195/Inv_SY!$Z195-1,"")</f>
        <v/>
      </c>
      <c r="AD193" s="55" t="str">
        <f>IFERROR(Inv_SY!R195/Inv_SY!$Z195-1,"")</f>
        <v/>
      </c>
      <c r="AE193" s="55" t="str">
        <f>IFERROR(Inv_SY!S195/Inv_SY!$Z195-1,"")</f>
        <v/>
      </c>
      <c r="AF193" s="55" t="str">
        <f>IFERROR(Inv_SY!T195/Inv_SY!$Z195-1,"")</f>
        <v/>
      </c>
      <c r="AG193" s="55" t="str">
        <f>IFERROR(Inv_SY!U195/Inv_SY!$Z195-1,"")</f>
        <v/>
      </c>
      <c r="AH193" s="55" t="str">
        <f>IFERROR(Inv_SY!V195/Inv_SY!$Y195-1,"")</f>
        <v/>
      </c>
      <c r="AI193" s="55" t="str">
        <f>IFERROR(Inv_SY!W195/Inv_SY!$Y195-1,"")</f>
        <v/>
      </c>
      <c r="AJ193" s="55" t="str">
        <f>IFERROR(Inv_SY!X195/Inv_SY!$Y195-1,"")</f>
        <v/>
      </c>
      <c r="AK193" s="55" t="str">
        <f>IFERROR(Inv_SY!V195/Inv_SY!$Z195-1,"")</f>
        <v/>
      </c>
      <c r="AL193" s="55" t="str">
        <f>IFERROR(Inv_SY!W195/Inv_SY!$Z195-1,"")</f>
        <v/>
      </c>
      <c r="AM193" s="55" t="str">
        <f>IFERROR(Inv_SY!X195/Inv_SY!$Z195-1,"")</f>
        <v/>
      </c>
    </row>
    <row r="194" spans="1:39" x14ac:dyDescent="0.3">
      <c r="A194" s="273">
        <f>YEAR(Table5[[#This Row],[Date]])+IF(MONTH(Table5[[#This Row],[Date]])&gt;=4,1,0)</f>
        <v>2026</v>
      </c>
      <c r="B194" s="273"/>
      <c r="C194" s="273">
        <f>YEAR(Table5[[#This Row],[Date]])</f>
        <v>2025</v>
      </c>
      <c r="D194" s="273"/>
      <c r="E194" s="273"/>
      <c r="F194" s="274" t="str">
        <f>TEXT(Table5[[#This Row],[Date]],"mmm-yy")</f>
        <v>Oct-25</v>
      </c>
      <c r="G194" s="273">
        <f t="shared" si="9"/>
        <v>31</v>
      </c>
      <c r="H194" s="275">
        <f t="shared" si="10"/>
        <v>45937</v>
      </c>
      <c r="I194" s="273">
        <v>8.02</v>
      </c>
      <c r="J194" s="55" t="str">
        <f>IFERROR(Inv_SY!J196/Inv_SY!$Y196-1,"")</f>
        <v/>
      </c>
      <c r="K194" s="55" t="str">
        <f>IFERROR(Inv_SY!K196/Inv_SY!$Y196-1,"")</f>
        <v/>
      </c>
      <c r="L194" s="55" t="str">
        <f>IFERROR(Inv_SY!L196/Inv_SY!$Y196-1,"")</f>
        <v/>
      </c>
      <c r="M194" s="55" t="str">
        <f>IFERROR(Inv_SY!M196/Inv_SY!$Y196-1,"")</f>
        <v/>
      </c>
      <c r="N194" s="55" t="str">
        <f>IFERROR(Inv_SY!N196/Inv_SY!$Y196-1,"")</f>
        <v/>
      </c>
      <c r="O194" s="55" t="str">
        <f>IFERROR(Inv_SY!O196/Inv_SY!$Y196-1,"")</f>
        <v/>
      </c>
      <c r="P194" s="55" t="str">
        <f>IFERROR(Inv_SY!P196/Inv_SY!$Y196-1,"")</f>
        <v/>
      </c>
      <c r="Q194" s="55" t="str">
        <f>IFERROR(Inv_SY!Q196/Inv_SY!$Y196-1,"")</f>
        <v/>
      </c>
      <c r="R194" s="55" t="str">
        <f>IFERROR(Inv_SY!R196/Inv_SY!$Y196-1,"")</f>
        <v/>
      </c>
      <c r="S194" s="55" t="str">
        <f>IFERROR(Inv_SY!S196/Inv_SY!$Y196-1,"")</f>
        <v/>
      </c>
      <c r="T194" s="55" t="str">
        <f>IFERROR(Inv_SY!T196/Inv_SY!$Y196-1,"")</f>
        <v/>
      </c>
      <c r="U194" s="55" t="str">
        <f>IFERROR(Inv_SY!U196/Inv_SY!$Y196-1,"")</f>
        <v/>
      </c>
      <c r="V194" s="55" t="str">
        <f>IFERROR(Inv_SY!J196/Inv_SY!$Z196-1,"")</f>
        <v/>
      </c>
      <c r="W194" s="55" t="str">
        <f>IFERROR(Inv_SY!K196/Inv_SY!$Z196-1,"")</f>
        <v/>
      </c>
      <c r="X194" s="55" t="str">
        <f>IFERROR(Inv_SY!L196/Inv_SY!$Z196-1,"")</f>
        <v/>
      </c>
      <c r="Y194" s="55" t="str">
        <f>IFERROR(Inv_SY!M196/Inv_SY!$Z196-1,"")</f>
        <v/>
      </c>
      <c r="Z194" s="55" t="str">
        <f>IFERROR(Inv_SY!N196/Inv_SY!$Z196-1,"")</f>
        <v/>
      </c>
      <c r="AA194" s="55" t="str">
        <f>IFERROR(Inv_SY!O196/Inv_SY!$Z196-1,"")</f>
        <v/>
      </c>
      <c r="AB194" s="55" t="str">
        <f>IFERROR(Inv_SY!P196/Inv_SY!$Z196-1,"")</f>
        <v/>
      </c>
      <c r="AC194" s="55" t="str">
        <f>IFERROR(Inv_SY!Q196/Inv_SY!$Z196-1,"")</f>
        <v/>
      </c>
      <c r="AD194" s="55" t="str">
        <f>IFERROR(Inv_SY!R196/Inv_SY!$Z196-1,"")</f>
        <v/>
      </c>
      <c r="AE194" s="55" t="str">
        <f>IFERROR(Inv_SY!S196/Inv_SY!$Z196-1,"")</f>
        <v/>
      </c>
      <c r="AF194" s="55" t="str">
        <f>IFERROR(Inv_SY!T196/Inv_SY!$Z196-1,"")</f>
        <v/>
      </c>
      <c r="AG194" s="55" t="str">
        <f>IFERROR(Inv_SY!U196/Inv_SY!$Z196-1,"")</f>
        <v/>
      </c>
      <c r="AH194" s="55" t="str">
        <f>IFERROR(Inv_SY!V196/Inv_SY!$Y196-1,"")</f>
        <v/>
      </c>
      <c r="AI194" s="55" t="str">
        <f>IFERROR(Inv_SY!W196/Inv_SY!$Y196-1,"")</f>
        <v/>
      </c>
      <c r="AJ194" s="55" t="str">
        <f>IFERROR(Inv_SY!X196/Inv_SY!$Y196-1,"")</f>
        <v/>
      </c>
      <c r="AK194" s="55" t="str">
        <f>IFERROR(Inv_SY!V196/Inv_SY!$Z196-1,"")</f>
        <v/>
      </c>
      <c r="AL194" s="55" t="str">
        <f>IFERROR(Inv_SY!W196/Inv_SY!$Z196-1,"")</f>
        <v/>
      </c>
      <c r="AM194" s="55" t="str">
        <f>IFERROR(Inv_SY!X196/Inv_SY!$Z196-1,"")</f>
        <v/>
      </c>
    </row>
    <row r="195" spans="1:39" x14ac:dyDescent="0.3">
      <c r="A195" s="273">
        <f>YEAR(Table5[[#This Row],[Date]])+IF(MONTH(Table5[[#This Row],[Date]])&gt;=4,1,0)</f>
        <v>2026</v>
      </c>
      <c r="B195" s="273"/>
      <c r="C195" s="273">
        <f>YEAR(Table5[[#This Row],[Date]])</f>
        <v>2025</v>
      </c>
      <c r="D195" s="273"/>
      <c r="E195" s="273"/>
      <c r="F195" s="274" t="str">
        <f>TEXT(Table5[[#This Row],[Date]],"mmm-yy")</f>
        <v>Oct-25</v>
      </c>
      <c r="G195" s="273">
        <f t="shared" si="9"/>
        <v>31</v>
      </c>
      <c r="H195" s="275">
        <f t="shared" si="10"/>
        <v>45938</v>
      </c>
      <c r="I195" s="273">
        <v>8.02</v>
      </c>
      <c r="J195" s="55" t="str">
        <f>IFERROR(Inv_SY!J197/Inv_SY!$Y197-1,"")</f>
        <v/>
      </c>
      <c r="K195" s="55" t="str">
        <f>IFERROR(Inv_SY!K197/Inv_SY!$Y197-1,"")</f>
        <v/>
      </c>
      <c r="L195" s="55" t="str">
        <f>IFERROR(Inv_SY!L197/Inv_SY!$Y197-1,"")</f>
        <v/>
      </c>
      <c r="M195" s="55" t="str">
        <f>IFERROR(Inv_SY!M197/Inv_SY!$Y197-1,"")</f>
        <v/>
      </c>
      <c r="N195" s="55" t="str">
        <f>IFERROR(Inv_SY!N197/Inv_SY!$Y197-1,"")</f>
        <v/>
      </c>
      <c r="O195" s="55" t="str">
        <f>IFERROR(Inv_SY!O197/Inv_SY!$Y197-1,"")</f>
        <v/>
      </c>
      <c r="P195" s="55" t="str">
        <f>IFERROR(Inv_SY!P197/Inv_SY!$Y197-1,"")</f>
        <v/>
      </c>
      <c r="Q195" s="55" t="str">
        <f>IFERROR(Inv_SY!Q197/Inv_SY!$Y197-1,"")</f>
        <v/>
      </c>
      <c r="R195" s="55" t="str">
        <f>IFERROR(Inv_SY!R197/Inv_SY!$Y197-1,"")</f>
        <v/>
      </c>
      <c r="S195" s="55" t="str">
        <f>IFERROR(Inv_SY!S197/Inv_SY!$Y197-1,"")</f>
        <v/>
      </c>
      <c r="T195" s="55" t="str">
        <f>IFERROR(Inv_SY!T197/Inv_SY!$Y197-1,"")</f>
        <v/>
      </c>
      <c r="U195" s="55" t="str">
        <f>IFERROR(Inv_SY!U197/Inv_SY!$Y197-1,"")</f>
        <v/>
      </c>
      <c r="V195" s="55" t="str">
        <f>IFERROR(Inv_SY!J197/Inv_SY!$Z197-1,"")</f>
        <v/>
      </c>
      <c r="W195" s="55" t="str">
        <f>IFERROR(Inv_SY!K197/Inv_SY!$Z197-1,"")</f>
        <v/>
      </c>
      <c r="X195" s="55" t="str">
        <f>IFERROR(Inv_SY!L197/Inv_SY!$Z197-1,"")</f>
        <v/>
      </c>
      <c r="Y195" s="55" t="str">
        <f>IFERROR(Inv_SY!M197/Inv_SY!$Z197-1,"")</f>
        <v/>
      </c>
      <c r="Z195" s="55" t="str">
        <f>IFERROR(Inv_SY!N197/Inv_SY!$Z197-1,"")</f>
        <v/>
      </c>
      <c r="AA195" s="55" t="str">
        <f>IFERROR(Inv_SY!O197/Inv_SY!$Z197-1,"")</f>
        <v/>
      </c>
      <c r="AB195" s="55" t="str">
        <f>IFERROR(Inv_SY!P197/Inv_SY!$Z197-1,"")</f>
        <v/>
      </c>
      <c r="AC195" s="55" t="str">
        <f>IFERROR(Inv_SY!Q197/Inv_SY!$Z197-1,"")</f>
        <v/>
      </c>
      <c r="AD195" s="55" t="str">
        <f>IFERROR(Inv_SY!R197/Inv_SY!$Z197-1,"")</f>
        <v/>
      </c>
      <c r="AE195" s="55" t="str">
        <f>IFERROR(Inv_SY!S197/Inv_SY!$Z197-1,"")</f>
        <v/>
      </c>
      <c r="AF195" s="55" t="str">
        <f>IFERROR(Inv_SY!T197/Inv_SY!$Z197-1,"")</f>
        <v/>
      </c>
      <c r="AG195" s="55" t="str">
        <f>IFERROR(Inv_SY!U197/Inv_SY!$Z197-1,"")</f>
        <v/>
      </c>
      <c r="AH195" s="55" t="str">
        <f>IFERROR(Inv_SY!V197/Inv_SY!$Y197-1,"")</f>
        <v/>
      </c>
      <c r="AI195" s="55" t="str">
        <f>IFERROR(Inv_SY!W197/Inv_SY!$Y197-1,"")</f>
        <v/>
      </c>
      <c r="AJ195" s="55" t="str">
        <f>IFERROR(Inv_SY!X197/Inv_SY!$Y197-1,"")</f>
        <v/>
      </c>
      <c r="AK195" s="55" t="str">
        <f>IFERROR(Inv_SY!V197/Inv_SY!$Z197-1,"")</f>
        <v/>
      </c>
      <c r="AL195" s="55" t="str">
        <f>IFERROR(Inv_SY!W197/Inv_SY!$Z197-1,"")</f>
        <v/>
      </c>
      <c r="AM195" s="55" t="str">
        <f>IFERROR(Inv_SY!X197/Inv_SY!$Z197-1,"")</f>
        <v/>
      </c>
    </row>
    <row r="196" spans="1:39" x14ac:dyDescent="0.3">
      <c r="A196" s="273">
        <f>YEAR(Table5[[#This Row],[Date]])+IF(MONTH(Table5[[#This Row],[Date]])&gt;=4,1,0)</f>
        <v>2026</v>
      </c>
      <c r="B196" s="273"/>
      <c r="C196" s="273">
        <f>YEAR(Table5[[#This Row],[Date]])</f>
        <v>2025</v>
      </c>
      <c r="D196" s="273"/>
      <c r="E196" s="273"/>
      <c r="F196" s="274" t="str">
        <f>TEXT(Table5[[#This Row],[Date]],"mmm-yy")</f>
        <v>Oct-25</v>
      </c>
      <c r="G196" s="273">
        <f t="shared" si="9"/>
        <v>31</v>
      </c>
      <c r="H196" s="275">
        <f t="shared" si="10"/>
        <v>45939</v>
      </c>
      <c r="I196" s="273">
        <v>8.02</v>
      </c>
      <c r="J196" s="55" t="str">
        <f>IFERROR(Inv_SY!J198/Inv_SY!$Y198-1,"")</f>
        <v/>
      </c>
      <c r="K196" s="55" t="str">
        <f>IFERROR(Inv_SY!K198/Inv_SY!$Y198-1,"")</f>
        <v/>
      </c>
      <c r="L196" s="55" t="str">
        <f>IFERROR(Inv_SY!L198/Inv_SY!$Y198-1,"")</f>
        <v/>
      </c>
      <c r="M196" s="55" t="str">
        <f>IFERROR(Inv_SY!M198/Inv_SY!$Y198-1,"")</f>
        <v/>
      </c>
      <c r="N196" s="55" t="str">
        <f>IFERROR(Inv_SY!N198/Inv_SY!$Y198-1,"")</f>
        <v/>
      </c>
      <c r="O196" s="55" t="str">
        <f>IFERROR(Inv_SY!O198/Inv_SY!$Y198-1,"")</f>
        <v/>
      </c>
      <c r="P196" s="55" t="str">
        <f>IFERROR(Inv_SY!P198/Inv_SY!$Y198-1,"")</f>
        <v/>
      </c>
      <c r="Q196" s="55" t="str">
        <f>IFERROR(Inv_SY!Q198/Inv_SY!$Y198-1,"")</f>
        <v/>
      </c>
      <c r="R196" s="55" t="str">
        <f>IFERROR(Inv_SY!R198/Inv_SY!$Y198-1,"")</f>
        <v/>
      </c>
      <c r="S196" s="55" t="str">
        <f>IFERROR(Inv_SY!S198/Inv_SY!$Y198-1,"")</f>
        <v/>
      </c>
      <c r="T196" s="55" t="str">
        <f>IFERROR(Inv_SY!T198/Inv_SY!$Y198-1,"")</f>
        <v/>
      </c>
      <c r="U196" s="55" t="str">
        <f>IFERROR(Inv_SY!U198/Inv_SY!$Y198-1,"")</f>
        <v/>
      </c>
      <c r="V196" s="55" t="str">
        <f>IFERROR(Inv_SY!J198/Inv_SY!$Z198-1,"")</f>
        <v/>
      </c>
      <c r="W196" s="55" t="str">
        <f>IFERROR(Inv_SY!K198/Inv_SY!$Z198-1,"")</f>
        <v/>
      </c>
      <c r="X196" s="55" t="str">
        <f>IFERROR(Inv_SY!L198/Inv_SY!$Z198-1,"")</f>
        <v/>
      </c>
      <c r="Y196" s="55" t="str">
        <f>IFERROR(Inv_SY!M198/Inv_SY!$Z198-1,"")</f>
        <v/>
      </c>
      <c r="Z196" s="55" t="str">
        <f>IFERROR(Inv_SY!N198/Inv_SY!$Z198-1,"")</f>
        <v/>
      </c>
      <c r="AA196" s="55" t="str">
        <f>IFERROR(Inv_SY!O198/Inv_SY!$Z198-1,"")</f>
        <v/>
      </c>
      <c r="AB196" s="55" t="str">
        <f>IFERROR(Inv_SY!P198/Inv_SY!$Z198-1,"")</f>
        <v/>
      </c>
      <c r="AC196" s="55" t="str">
        <f>IFERROR(Inv_SY!Q198/Inv_SY!$Z198-1,"")</f>
        <v/>
      </c>
      <c r="AD196" s="55" t="str">
        <f>IFERROR(Inv_SY!R198/Inv_SY!$Z198-1,"")</f>
        <v/>
      </c>
      <c r="AE196" s="55" t="str">
        <f>IFERROR(Inv_SY!S198/Inv_SY!$Z198-1,"")</f>
        <v/>
      </c>
      <c r="AF196" s="55" t="str">
        <f>IFERROR(Inv_SY!T198/Inv_SY!$Z198-1,"")</f>
        <v/>
      </c>
      <c r="AG196" s="55" t="str">
        <f>IFERROR(Inv_SY!U198/Inv_SY!$Z198-1,"")</f>
        <v/>
      </c>
      <c r="AH196" s="55" t="str">
        <f>IFERROR(Inv_SY!V198/Inv_SY!$Y198-1,"")</f>
        <v/>
      </c>
      <c r="AI196" s="55" t="str">
        <f>IFERROR(Inv_SY!W198/Inv_SY!$Y198-1,"")</f>
        <v/>
      </c>
      <c r="AJ196" s="55" t="str">
        <f>IFERROR(Inv_SY!X198/Inv_SY!$Y198-1,"")</f>
        <v/>
      </c>
      <c r="AK196" s="55" t="str">
        <f>IFERROR(Inv_SY!V198/Inv_SY!$Z198-1,"")</f>
        <v/>
      </c>
      <c r="AL196" s="55" t="str">
        <f>IFERROR(Inv_SY!W198/Inv_SY!$Z198-1,"")</f>
        <v/>
      </c>
      <c r="AM196" s="55" t="str">
        <f>IFERROR(Inv_SY!X198/Inv_SY!$Z198-1,"")</f>
        <v/>
      </c>
    </row>
    <row r="197" spans="1:39" x14ac:dyDescent="0.3">
      <c r="A197" s="273">
        <f>YEAR(Table5[[#This Row],[Date]])+IF(MONTH(Table5[[#This Row],[Date]])&gt;=4,1,0)</f>
        <v>2026</v>
      </c>
      <c r="B197" s="273"/>
      <c r="C197" s="273">
        <f>YEAR(Table5[[#This Row],[Date]])</f>
        <v>2025</v>
      </c>
      <c r="D197" s="273"/>
      <c r="E197" s="273"/>
      <c r="F197" s="274" t="str">
        <f>TEXT(Table5[[#This Row],[Date]],"mmm-yy")</f>
        <v>Oct-25</v>
      </c>
      <c r="G197" s="273">
        <f t="shared" si="9"/>
        <v>31</v>
      </c>
      <c r="H197" s="275">
        <f t="shared" si="10"/>
        <v>45940</v>
      </c>
      <c r="I197" s="273">
        <v>8.02</v>
      </c>
      <c r="J197" s="55" t="str">
        <f>IFERROR(Inv_SY!J199/Inv_SY!$Y199-1,"")</f>
        <v/>
      </c>
      <c r="K197" s="55" t="str">
        <f>IFERROR(Inv_SY!K199/Inv_SY!$Y199-1,"")</f>
        <v/>
      </c>
      <c r="L197" s="55" t="str">
        <f>IFERROR(Inv_SY!L199/Inv_SY!$Y199-1,"")</f>
        <v/>
      </c>
      <c r="M197" s="55" t="str">
        <f>IFERROR(Inv_SY!M199/Inv_SY!$Y199-1,"")</f>
        <v/>
      </c>
      <c r="N197" s="55" t="str">
        <f>IFERROR(Inv_SY!N199/Inv_SY!$Y199-1,"")</f>
        <v/>
      </c>
      <c r="O197" s="55" t="str">
        <f>IFERROR(Inv_SY!O199/Inv_SY!$Y199-1,"")</f>
        <v/>
      </c>
      <c r="P197" s="55" t="str">
        <f>IFERROR(Inv_SY!P199/Inv_SY!$Y199-1,"")</f>
        <v/>
      </c>
      <c r="Q197" s="55" t="str">
        <f>IFERROR(Inv_SY!Q199/Inv_SY!$Y199-1,"")</f>
        <v/>
      </c>
      <c r="R197" s="55" t="str">
        <f>IFERROR(Inv_SY!R199/Inv_SY!$Y199-1,"")</f>
        <v/>
      </c>
      <c r="S197" s="55" t="str">
        <f>IFERROR(Inv_SY!S199/Inv_SY!$Y199-1,"")</f>
        <v/>
      </c>
      <c r="T197" s="55" t="str">
        <f>IFERROR(Inv_SY!T199/Inv_SY!$Y199-1,"")</f>
        <v/>
      </c>
      <c r="U197" s="55" t="str">
        <f>IFERROR(Inv_SY!U199/Inv_SY!$Y199-1,"")</f>
        <v/>
      </c>
      <c r="V197" s="55" t="str">
        <f>IFERROR(Inv_SY!J199/Inv_SY!$Z199-1,"")</f>
        <v/>
      </c>
      <c r="W197" s="55" t="str">
        <f>IFERROR(Inv_SY!K199/Inv_SY!$Z199-1,"")</f>
        <v/>
      </c>
      <c r="X197" s="55" t="str">
        <f>IFERROR(Inv_SY!L199/Inv_SY!$Z199-1,"")</f>
        <v/>
      </c>
      <c r="Y197" s="55" t="str">
        <f>IFERROR(Inv_SY!M199/Inv_SY!$Z199-1,"")</f>
        <v/>
      </c>
      <c r="Z197" s="55" t="str">
        <f>IFERROR(Inv_SY!N199/Inv_SY!$Z199-1,"")</f>
        <v/>
      </c>
      <c r="AA197" s="55" t="str">
        <f>IFERROR(Inv_SY!O199/Inv_SY!$Z199-1,"")</f>
        <v/>
      </c>
      <c r="AB197" s="55" t="str">
        <f>IFERROR(Inv_SY!P199/Inv_SY!$Z199-1,"")</f>
        <v/>
      </c>
      <c r="AC197" s="55" t="str">
        <f>IFERROR(Inv_SY!Q199/Inv_SY!$Z199-1,"")</f>
        <v/>
      </c>
      <c r="AD197" s="55" t="str">
        <f>IFERROR(Inv_SY!R199/Inv_SY!$Z199-1,"")</f>
        <v/>
      </c>
      <c r="AE197" s="55" t="str">
        <f>IFERROR(Inv_SY!S199/Inv_SY!$Z199-1,"")</f>
        <v/>
      </c>
      <c r="AF197" s="55" t="str">
        <f>IFERROR(Inv_SY!T199/Inv_SY!$Z199-1,"")</f>
        <v/>
      </c>
      <c r="AG197" s="55" t="str">
        <f>IFERROR(Inv_SY!U199/Inv_SY!$Z199-1,"")</f>
        <v/>
      </c>
      <c r="AH197" s="55" t="str">
        <f>IFERROR(Inv_SY!V199/Inv_SY!$Y199-1,"")</f>
        <v/>
      </c>
      <c r="AI197" s="55" t="str">
        <f>IFERROR(Inv_SY!W199/Inv_SY!$Y199-1,"")</f>
        <v/>
      </c>
      <c r="AJ197" s="55" t="str">
        <f>IFERROR(Inv_SY!X199/Inv_SY!$Y199-1,"")</f>
        <v/>
      </c>
      <c r="AK197" s="55" t="str">
        <f>IFERROR(Inv_SY!V199/Inv_SY!$Z199-1,"")</f>
        <v/>
      </c>
      <c r="AL197" s="55" t="str">
        <f>IFERROR(Inv_SY!W199/Inv_SY!$Z199-1,"")</f>
        <v/>
      </c>
      <c r="AM197" s="55" t="str">
        <f>IFERROR(Inv_SY!X199/Inv_SY!$Z199-1,"")</f>
        <v/>
      </c>
    </row>
    <row r="198" spans="1:39" x14ac:dyDescent="0.3">
      <c r="A198" s="273">
        <f>YEAR(Table5[[#This Row],[Date]])+IF(MONTH(Table5[[#This Row],[Date]])&gt;=4,1,0)</f>
        <v>2026</v>
      </c>
      <c r="B198" s="273"/>
      <c r="C198" s="273">
        <f>YEAR(Table5[[#This Row],[Date]])</f>
        <v>2025</v>
      </c>
      <c r="D198" s="273"/>
      <c r="E198" s="273"/>
      <c r="F198" s="274" t="str">
        <f>TEXT(Table5[[#This Row],[Date]],"mmm-yy")</f>
        <v>Oct-25</v>
      </c>
      <c r="G198" s="273">
        <f t="shared" si="9"/>
        <v>31</v>
      </c>
      <c r="H198" s="275">
        <f t="shared" si="10"/>
        <v>45941</v>
      </c>
      <c r="I198" s="273">
        <v>8.02</v>
      </c>
      <c r="J198" s="55" t="str">
        <f>IFERROR(Inv_SY!J200/Inv_SY!$Y200-1,"")</f>
        <v/>
      </c>
      <c r="K198" s="55" t="str">
        <f>IFERROR(Inv_SY!K200/Inv_SY!$Y200-1,"")</f>
        <v/>
      </c>
      <c r="L198" s="55" t="str">
        <f>IFERROR(Inv_SY!L200/Inv_SY!$Y200-1,"")</f>
        <v/>
      </c>
      <c r="M198" s="55" t="str">
        <f>IFERROR(Inv_SY!M200/Inv_SY!$Y200-1,"")</f>
        <v/>
      </c>
      <c r="N198" s="55" t="str">
        <f>IFERROR(Inv_SY!N200/Inv_SY!$Y200-1,"")</f>
        <v/>
      </c>
      <c r="O198" s="55" t="str">
        <f>IFERROR(Inv_SY!O200/Inv_SY!$Y200-1,"")</f>
        <v/>
      </c>
      <c r="P198" s="55" t="str">
        <f>IFERROR(Inv_SY!P200/Inv_SY!$Y200-1,"")</f>
        <v/>
      </c>
      <c r="Q198" s="55" t="str">
        <f>IFERROR(Inv_SY!Q200/Inv_SY!$Y200-1,"")</f>
        <v/>
      </c>
      <c r="R198" s="55" t="str">
        <f>IFERROR(Inv_SY!R200/Inv_SY!$Y200-1,"")</f>
        <v/>
      </c>
      <c r="S198" s="55" t="str">
        <f>IFERROR(Inv_SY!S200/Inv_SY!$Y200-1,"")</f>
        <v/>
      </c>
      <c r="T198" s="55" t="str">
        <f>IFERROR(Inv_SY!T200/Inv_SY!$Y200-1,"")</f>
        <v/>
      </c>
      <c r="U198" s="55" t="str">
        <f>IFERROR(Inv_SY!U200/Inv_SY!$Y200-1,"")</f>
        <v/>
      </c>
      <c r="V198" s="55" t="str">
        <f>IFERROR(Inv_SY!J200/Inv_SY!$Z200-1,"")</f>
        <v/>
      </c>
      <c r="W198" s="55" t="str">
        <f>IFERROR(Inv_SY!K200/Inv_SY!$Z200-1,"")</f>
        <v/>
      </c>
      <c r="X198" s="55" t="str">
        <f>IFERROR(Inv_SY!L200/Inv_SY!$Z200-1,"")</f>
        <v/>
      </c>
      <c r="Y198" s="55" t="str">
        <f>IFERROR(Inv_SY!M200/Inv_SY!$Z200-1,"")</f>
        <v/>
      </c>
      <c r="Z198" s="55" t="str">
        <f>IFERROR(Inv_SY!N200/Inv_SY!$Z200-1,"")</f>
        <v/>
      </c>
      <c r="AA198" s="55" t="str">
        <f>IFERROR(Inv_SY!O200/Inv_SY!$Z200-1,"")</f>
        <v/>
      </c>
      <c r="AB198" s="55" t="str">
        <f>IFERROR(Inv_SY!P200/Inv_SY!$Z200-1,"")</f>
        <v/>
      </c>
      <c r="AC198" s="55" t="str">
        <f>IFERROR(Inv_SY!Q200/Inv_SY!$Z200-1,"")</f>
        <v/>
      </c>
      <c r="AD198" s="55" t="str">
        <f>IFERROR(Inv_SY!R200/Inv_SY!$Z200-1,"")</f>
        <v/>
      </c>
      <c r="AE198" s="55" t="str">
        <f>IFERROR(Inv_SY!S200/Inv_SY!$Z200-1,"")</f>
        <v/>
      </c>
      <c r="AF198" s="55" t="str">
        <f>IFERROR(Inv_SY!T200/Inv_SY!$Z200-1,"")</f>
        <v/>
      </c>
      <c r="AG198" s="55" t="str">
        <f>IFERROR(Inv_SY!U200/Inv_SY!$Z200-1,"")</f>
        <v/>
      </c>
      <c r="AH198" s="55" t="str">
        <f>IFERROR(Inv_SY!V200/Inv_SY!$Y200-1,"")</f>
        <v/>
      </c>
      <c r="AI198" s="55" t="str">
        <f>IFERROR(Inv_SY!W200/Inv_SY!$Y200-1,"")</f>
        <v/>
      </c>
      <c r="AJ198" s="55" t="str">
        <f>IFERROR(Inv_SY!X200/Inv_SY!$Y200-1,"")</f>
        <v/>
      </c>
      <c r="AK198" s="55" t="str">
        <f>IFERROR(Inv_SY!V200/Inv_SY!$Z200-1,"")</f>
        <v/>
      </c>
      <c r="AL198" s="55" t="str">
        <f>IFERROR(Inv_SY!W200/Inv_SY!$Z200-1,"")</f>
        <v/>
      </c>
      <c r="AM198" s="55" t="str">
        <f>IFERROR(Inv_SY!X200/Inv_SY!$Z200-1,"")</f>
        <v/>
      </c>
    </row>
    <row r="199" spans="1:39" x14ac:dyDescent="0.3">
      <c r="A199" s="273">
        <f>YEAR(Table5[[#This Row],[Date]])+IF(MONTH(Table5[[#This Row],[Date]])&gt;=4,1,0)</f>
        <v>2026</v>
      </c>
      <c r="B199" s="273"/>
      <c r="C199" s="273">
        <f>YEAR(Table5[[#This Row],[Date]])</f>
        <v>2025</v>
      </c>
      <c r="D199" s="273"/>
      <c r="E199" s="273"/>
      <c r="F199" s="274" t="str">
        <f>TEXT(Table5[[#This Row],[Date]],"mmm-yy")</f>
        <v>Oct-25</v>
      </c>
      <c r="G199" s="273">
        <f t="shared" si="9"/>
        <v>31</v>
      </c>
      <c r="H199" s="275">
        <f t="shared" si="10"/>
        <v>45942</v>
      </c>
      <c r="I199" s="273">
        <v>8.02</v>
      </c>
      <c r="J199" s="55" t="str">
        <f>IFERROR(Inv_SY!J201/Inv_SY!$Y201-1,"")</f>
        <v/>
      </c>
      <c r="K199" s="55" t="str">
        <f>IFERROR(Inv_SY!K201/Inv_SY!$Y201-1,"")</f>
        <v/>
      </c>
      <c r="L199" s="55" t="str">
        <f>IFERROR(Inv_SY!L201/Inv_SY!$Y201-1,"")</f>
        <v/>
      </c>
      <c r="M199" s="55" t="str">
        <f>IFERROR(Inv_SY!M201/Inv_SY!$Y201-1,"")</f>
        <v/>
      </c>
      <c r="N199" s="55" t="str">
        <f>IFERROR(Inv_SY!N201/Inv_SY!$Y201-1,"")</f>
        <v/>
      </c>
      <c r="O199" s="55" t="str">
        <f>IFERROR(Inv_SY!O201/Inv_SY!$Y201-1,"")</f>
        <v/>
      </c>
      <c r="P199" s="55" t="str">
        <f>IFERROR(Inv_SY!P201/Inv_SY!$Y201-1,"")</f>
        <v/>
      </c>
      <c r="Q199" s="55" t="str">
        <f>IFERROR(Inv_SY!Q201/Inv_SY!$Y201-1,"")</f>
        <v/>
      </c>
      <c r="R199" s="55" t="str">
        <f>IFERROR(Inv_SY!R201/Inv_SY!$Y201-1,"")</f>
        <v/>
      </c>
      <c r="S199" s="55" t="str">
        <f>IFERROR(Inv_SY!S201/Inv_SY!$Y201-1,"")</f>
        <v/>
      </c>
      <c r="T199" s="55" t="str">
        <f>IFERROR(Inv_SY!T201/Inv_SY!$Y201-1,"")</f>
        <v/>
      </c>
      <c r="U199" s="55" t="str">
        <f>IFERROR(Inv_SY!U201/Inv_SY!$Y201-1,"")</f>
        <v/>
      </c>
      <c r="V199" s="55" t="str">
        <f>IFERROR(Inv_SY!J201/Inv_SY!$Z201-1,"")</f>
        <v/>
      </c>
      <c r="W199" s="55" t="str">
        <f>IFERROR(Inv_SY!K201/Inv_SY!$Z201-1,"")</f>
        <v/>
      </c>
      <c r="X199" s="55" t="str">
        <f>IFERROR(Inv_SY!L201/Inv_SY!$Z201-1,"")</f>
        <v/>
      </c>
      <c r="Y199" s="55" t="str">
        <f>IFERROR(Inv_SY!M201/Inv_SY!$Z201-1,"")</f>
        <v/>
      </c>
      <c r="Z199" s="55" t="str">
        <f>IFERROR(Inv_SY!N201/Inv_SY!$Z201-1,"")</f>
        <v/>
      </c>
      <c r="AA199" s="55" t="str">
        <f>IFERROR(Inv_SY!O201/Inv_SY!$Z201-1,"")</f>
        <v/>
      </c>
      <c r="AB199" s="55" t="str">
        <f>IFERROR(Inv_SY!P201/Inv_SY!$Z201-1,"")</f>
        <v/>
      </c>
      <c r="AC199" s="55" t="str">
        <f>IFERROR(Inv_SY!Q201/Inv_SY!$Z201-1,"")</f>
        <v/>
      </c>
      <c r="AD199" s="55" t="str">
        <f>IFERROR(Inv_SY!R201/Inv_SY!$Z201-1,"")</f>
        <v/>
      </c>
      <c r="AE199" s="55" t="str">
        <f>IFERROR(Inv_SY!S201/Inv_SY!$Z201-1,"")</f>
        <v/>
      </c>
      <c r="AF199" s="55" t="str">
        <f>IFERROR(Inv_SY!T201/Inv_SY!$Z201-1,"")</f>
        <v/>
      </c>
      <c r="AG199" s="55" t="str">
        <f>IFERROR(Inv_SY!U201/Inv_SY!$Z201-1,"")</f>
        <v/>
      </c>
      <c r="AH199" s="55" t="str">
        <f>IFERROR(Inv_SY!V201/Inv_SY!$Y201-1,"")</f>
        <v/>
      </c>
      <c r="AI199" s="55" t="str">
        <f>IFERROR(Inv_SY!W201/Inv_SY!$Y201-1,"")</f>
        <v/>
      </c>
      <c r="AJ199" s="55" t="str">
        <f>IFERROR(Inv_SY!X201/Inv_SY!$Y201-1,"")</f>
        <v/>
      </c>
      <c r="AK199" s="55" t="str">
        <f>IFERROR(Inv_SY!V201/Inv_SY!$Z201-1,"")</f>
        <v/>
      </c>
      <c r="AL199" s="55" t="str">
        <f>IFERROR(Inv_SY!W201/Inv_SY!$Z201-1,"")</f>
        <v/>
      </c>
      <c r="AM199" s="55" t="str">
        <f>IFERROR(Inv_SY!X201/Inv_SY!$Z201-1,"")</f>
        <v/>
      </c>
    </row>
    <row r="200" spans="1:39" x14ac:dyDescent="0.3">
      <c r="A200" s="273">
        <f>YEAR(Table5[[#This Row],[Date]])+IF(MONTH(Table5[[#This Row],[Date]])&gt;=4,1,0)</f>
        <v>2026</v>
      </c>
      <c r="B200" s="273"/>
      <c r="C200" s="273">
        <f>YEAR(Table5[[#This Row],[Date]])</f>
        <v>2025</v>
      </c>
      <c r="D200" s="273"/>
      <c r="E200" s="273"/>
      <c r="F200" s="274" t="str">
        <f>TEXT(Table5[[#This Row],[Date]],"mmm-yy")</f>
        <v>Oct-25</v>
      </c>
      <c r="G200" s="273">
        <f t="shared" si="9"/>
        <v>31</v>
      </c>
      <c r="H200" s="275">
        <f t="shared" si="10"/>
        <v>45943</v>
      </c>
      <c r="I200" s="273">
        <v>8.02</v>
      </c>
      <c r="J200" s="55" t="str">
        <f>IFERROR(Inv_SY!J202/Inv_SY!$Y202-1,"")</f>
        <v/>
      </c>
      <c r="K200" s="55" t="str">
        <f>IFERROR(Inv_SY!K202/Inv_SY!$Y202-1,"")</f>
        <v/>
      </c>
      <c r="L200" s="55" t="str">
        <f>IFERROR(Inv_SY!L202/Inv_SY!$Y202-1,"")</f>
        <v/>
      </c>
      <c r="M200" s="55" t="str">
        <f>IFERROR(Inv_SY!M202/Inv_SY!$Y202-1,"")</f>
        <v/>
      </c>
      <c r="N200" s="55" t="str">
        <f>IFERROR(Inv_SY!N202/Inv_SY!$Y202-1,"")</f>
        <v/>
      </c>
      <c r="O200" s="55" t="str">
        <f>IFERROR(Inv_SY!O202/Inv_SY!$Y202-1,"")</f>
        <v/>
      </c>
      <c r="P200" s="55" t="str">
        <f>IFERROR(Inv_SY!P202/Inv_SY!$Y202-1,"")</f>
        <v/>
      </c>
      <c r="Q200" s="55" t="str">
        <f>IFERROR(Inv_SY!Q202/Inv_SY!$Y202-1,"")</f>
        <v/>
      </c>
      <c r="R200" s="55" t="str">
        <f>IFERROR(Inv_SY!R202/Inv_SY!$Y202-1,"")</f>
        <v/>
      </c>
      <c r="S200" s="55" t="str">
        <f>IFERROR(Inv_SY!S202/Inv_SY!$Y202-1,"")</f>
        <v/>
      </c>
      <c r="T200" s="55" t="str">
        <f>IFERROR(Inv_SY!T202/Inv_SY!$Y202-1,"")</f>
        <v/>
      </c>
      <c r="U200" s="55" t="str">
        <f>IFERROR(Inv_SY!U202/Inv_SY!$Y202-1,"")</f>
        <v/>
      </c>
      <c r="V200" s="55" t="str">
        <f>IFERROR(Inv_SY!J202/Inv_SY!$Z202-1,"")</f>
        <v/>
      </c>
      <c r="W200" s="55" t="str">
        <f>IFERROR(Inv_SY!K202/Inv_SY!$Z202-1,"")</f>
        <v/>
      </c>
      <c r="X200" s="55" t="str">
        <f>IFERROR(Inv_SY!L202/Inv_SY!$Z202-1,"")</f>
        <v/>
      </c>
      <c r="Y200" s="55" t="str">
        <f>IFERROR(Inv_SY!M202/Inv_SY!$Z202-1,"")</f>
        <v/>
      </c>
      <c r="Z200" s="55" t="str">
        <f>IFERROR(Inv_SY!N202/Inv_SY!$Z202-1,"")</f>
        <v/>
      </c>
      <c r="AA200" s="55" t="str">
        <f>IFERROR(Inv_SY!O202/Inv_SY!$Z202-1,"")</f>
        <v/>
      </c>
      <c r="AB200" s="55" t="str">
        <f>IFERROR(Inv_SY!P202/Inv_SY!$Z202-1,"")</f>
        <v/>
      </c>
      <c r="AC200" s="55" t="str">
        <f>IFERROR(Inv_SY!Q202/Inv_SY!$Z202-1,"")</f>
        <v/>
      </c>
      <c r="AD200" s="55" t="str">
        <f>IFERROR(Inv_SY!R202/Inv_SY!$Z202-1,"")</f>
        <v/>
      </c>
      <c r="AE200" s="55" t="str">
        <f>IFERROR(Inv_SY!S202/Inv_SY!$Z202-1,"")</f>
        <v/>
      </c>
      <c r="AF200" s="55" t="str">
        <f>IFERROR(Inv_SY!T202/Inv_SY!$Z202-1,"")</f>
        <v/>
      </c>
      <c r="AG200" s="55" t="str">
        <f>IFERROR(Inv_SY!U202/Inv_SY!$Z202-1,"")</f>
        <v/>
      </c>
      <c r="AH200" s="55" t="str">
        <f>IFERROR(Inv_SY!V202/Inv_SY!$Y202-1,"")</f>
        <v/>
      </c>
      <c r="AI200" s="55" t="str">
        <f>IFERROR(Inv_SY!W202/Inv_SY!$Y202-1,"")</f>
        <v/>
      </c>
      <c r="AJ200" s="55" t="str">
        <f>IFERROR(Inv_SY!X202/Inv_SY!$Y202-1,"")</f>
        <v/>
      </c>
      <c r="AK200" s="55" t="str">
        <f>IFERROR(Inv_SY!V202/Inv_SY!$Z202-1,"")</f>
        <v/>
      </c>
      <c r="AL200" s="55" t="str">
        <f>IFERROR(Inv_SY!W202/Inv_SY!$Z202-1,"")</f>
        <v/>
      </c>
      <c r="AM200" s="55" t="str">
        <f>IFERROR(Inv_SY!X202/Inv_SY!$Z202-1,"")</f>
        <v/>
      </c>
    </row>
    <row r="201" spans="1:39" x14ac:dyDescent="0.3">
      <c r="A201" s="273">
        <f>YEAR(Table5[[#This Row],[Date]])+IF(MONTH(Table5[[#This Row],[Date]])&gt;=4,1,0)</f>
        <v>2026</v>
      </c>
      <c r="B201" s="273"/>
      <c r="C201" s="273">
        <f>YEAR(Table5[[#This Row],[Date]])</f>
        <v>2025</v>
      </c>
      <c r="D201" s="273"/>
      <c r="E201" s="273"/>
      <c r="F201" s="274" t="str">
        <f>TEXT(Table5[[#This Row],[Date]],"mmm-yy")</f>
        <v>Oct-25</v>
      </c>
      <c r="G201" s="273">
        <f t="shared" si="9"/>
        <v>31</v>
      </c>
      <c r="H201" s="275">
        <f t="shared" si="10"/>
        <v>45944</v>
      </c>
      <c r="I201" s="273">
        <v>8.02</v>
      </c>
      <c r="J201" s="55" t="str">
        <f>IFERROR(Inv_SY!J203/Inv_SY!$Y203-1,"")</f>
        <v/>
      </c>
      <c r="K201" s="55" t="str">
        <f>IFERROR(Inv_SY!K203/Inv_SY!$Y203-1,"")</f>
        <v/>
      </c>
      <c r="L201" s="55" t="str">
        <f>IFERROR(Inv_SY!L203/Inv_SY!$Y203-1,"")</f>
        <v/>
      </c>
      <c r="M201" s="55" t="str">
        <f>IFERROR(Inv_SY!M203/Inv_SY!$Y203-1,"")</f>
        <v/>
      </c>
      <c r="N201" s="55" t="str">
        <f>IFERROR(Inv_SY!N203/Inv_SY!$Y203-1,"")</f>
        <v/>
      </c>
      <c r="O201" s="55" t="str">
        <f>IFERROR(Inv_SY!O203/Inv_SY!$Y203-1,"")</f>
        <v/>
      </c>
      <c r="P201" s="55" t="str">
        <f>IFERROR(Inv_SY!P203/Inv_SY!$Y203-1,"")</f>
        <v/>
      </c>
      <c r="Q201" s="55" t="str">
        <f>IFERROR(Inv_SY!Q203/Inv_SY!$Y203-1,"")</f>
        <v/>
      </c>
      <c r="R201" s="55" t="str">
        <f>IFERROR(Inv_SY!R203/Inv_SY!$Y203-1,"")</f>
        <v/>
      </c>
      <c r="S201" s="55" t="str">
        <f>IFERROR(Inv_SY!S203/Inv_SY!$Y203-1,"")</f>
        <v/>
      </c>
      <c r="T201" s="55" t="str">
        <f>IFERROR(Inv_SY!T203/Inv_SY!$Y203-1,"")</f>
        <v/>
      </c>
      <c r="U201" s="55" t="str">
        <f>IFERROR(Inv_SY!U203/Inv_SY!$Y203-1,"")</f>
        <v/>
      </c>
      <c r="V201" s="55" t="str">
        <f>IFERROR(Inv_SY!J203/Inv_SY!$Z203-1,"")</f>
        <v/>
      </c>
      <c r="W201" s="55" t="str">
        <f>IFERROR(Inv_SY!K203/Inv_SY!$Z203-1,"")</f>
        <v/>
      </c>
      <c r="X201" s="55" t="str">
        <f>IFERROR(Inv_SY!L203/Inv_SY!$Z203-1,"")</f>
        <v/>
      </c>
      <c r="Y201" s="55" t="str">
        <f>IFERROR(Inv_SY!M203/Inv_SY!$Z203-1,"")</f>
        <v/>
      </c>
      <c r="Z201" s="55" t="str">
        <f>IFERROR(Inv_SY!N203/Inv_SY!$Z203-1,"")</f>
        <v/>
      </c>
      <c r="AA201" s="55" t="str">
        <f>IFERROR(Inv_SY!O203/Inv_SY!$Z203-1,"")</f>
        <v/>
      </c>
      <c r="AB201" s="55" t="str">
        <f>IFERROR(Inv_SY!P203/Inv_SY!$Z203-1,"")</f>
        <v/>
      </c>
      <c r="AC201" s="55" t="str">
        <f>IFERROR(Inv_SY!Q203/Inv_SY!$Z203-1,"")</f>
        <v/>
      </c>
      <c r="AD201" s="55" t="str">
        <f>IFERROR(Inv_SY!R203/Inv_SY!$Z203-1,"")</f>
        <v/>
      </c>
      <c r="AE201" s="55" t="str">
        <f>IFERROR(Inv_SY!S203/Inv_SY!$Z203-1,"")</f>
        <v/>
      </c>
      <c r="AF201" s="55" t="str">
        <f>IFERROR(Inv_SY!T203/Inv_SY!$Z203-1,"")</f>
        <v/>
      </c>
      <c r="AG201" s="55" t="str">
        <f>IFERROR(Inv_SY!U203/Inv_SY!$Z203-1,"")</f>
        <v/>
      </c>
      <c r="AH201" s="55" t="str">
        <f>IFERROR(Inv_SY!V203/Inv_SY!$Y203-1,"")</f>
        <v/>
      </c>
      <c r="AI201" s="55" t="str">
        <f>IFERROR(Inv_SY!W203/Inv_SY!$Y203-1,"")</f>
        <v/>
      </c>
      <c r="AJ201" s="55" t="str">
        <f>IFERROR(Inv_SY!X203/Inv_SY!$Y203-1,"")</f>
        <v/>
      </c>
      <c r="AK201" s="55" t="str">
        <f>IFERROR(Inv_SY!V203/Inv_SY!$Z203-1,"")</f>
        <v/>
      </c>
      <c r="AL201" s="55" t="str">
        <f>IFERROR(Inv_SY!W203/Inv_SY!$Z203-1,"")</f>
        <v/>
      </c>
      <c r="AM201" s="55" t="str">
        <f>IFERROR(Inv_SY!X203/Inv_SY!$Z203-1,"")</f>
        <v/>
      </c>
    </row>
    <row r="202" spans="1:39" x14ac:dyDescent="0.3">
      <c r="A202" s="273">
        <f>YEAR(Table5[[#This Row],[Date]])+IF(MONTH(Table5[[#This Row],[Date]])&gt;=4,1,0)</f>
        <v>2026</v>
      </c>
      <c r="B202" s="273"/>
      <c r="C202" s="273">
        <f>YEAR(Table5[[#This Row],[Date]])</f>
        <v>2025</v>
      </c>
      <c r="D202" s="273"/>
      <c r="E202" s="273"/>
      <c r="F202" s="274" t="str">
        <f>TEXT(Table5[[#This Row],[Date]],"mmm-yy")</f>
        <v>Oct-25</v>
      </c>
      <c r="G202" s="273">
        <f t="shared" si="9"/>
        <v>31</v>
      </c>
      <c r="H202" s="275">
        <f t="shared" si="10"/>
        <v>45945</v>
      </c>
      <c r="I202" s="273">
        <v>8.02</v>
      </c>
      <c r="J202" s="55" t="str">
        <f>IFERROR(Inv_SY!J204/Inv_SY!$Y204-1,"")</f>
        <v/>
      </c>
      <c r="K202" s="55" t="str">
        <f>IFERROR(Inv_SY!K204/Inv_SY!$Y204-1,"")</f>
        <v/>
      </c>
      <c r="L202" s="55" t="str">
        <f>IFERROR(Inv_SY!L204/Inv_SY!$Y204-1,"")</f>
        <v/>
      </c>
      <c r="M202" s="55" t="str">
        <f>IFERROR(Inv_SY!M204/Inv_SY!$Y204-1,"")</f>
        <v/>
      </c>
      <c r="N202" s="55" t="str">
        <f>IFERROR(Inv_SY!N204/Inv_SY!$Y204-1,"")</f>
        <v/>
      </c>
      <c r="O202" s="55" t="str">
        <f>IFERROR(Inv_SY!O204/Inv_SY!$Y204-1,"")</f>
        <v/>
      </c>
      <c r="P202" s="55" t="str">
        <f>IFERROR(Inv_SY!P204/Inv_SY!$Y204-1,"")</f>
        <v/>
      </c>
      <c r="Q202" s="55" t="str">
        <f>IFERROR(Inv_SY!Q204/Inv_SY!$Y204-1,"")</f>
        <v/>
      </c>
      <c r="R202" s="55" t="str">
        <f>IFERROR(Inv_SY!R204/Inv_SY!$Y204-1,"")</f>
        <v/>
      </c>
      <c r="S202" s="55" t="str">
        <f>IFERROR(Inv_SY!S204/Inv_SY!$Y204-1,"")</f>
        <v/>
      </c>
      <c r="T202" s="55" t="str">
        <f>IFERROR(Inv_SY!T204/Inv_SY!$Y204-1,"")</f>
        <v/>
      </c>
      <c r="U202" s="55" t="str">
        <f>IFERROR(Inv_SY!U204/Inv_SY!$Y204-1,"")</f>
        <v/>
      </c>
      <c r="V202" s="55" t="str">
        <f>IFERROR(Inv_SY!J204/Inv_SY!$Z204-1,"")</f>
        <v/>
      </c>
      <c r="W202" s="55" t="str">
        <f>IFERROR(Inv_SY!K204/Inv_SY!$Z204-1,"")</f>
        <v/>
      </c>
      <c r="X202" s="55" t="str">
        <f>IFERROR(Inv_SY!L204/Inv_SY!$Z204-1,"")</f>
        <v/>
      </c>
      <c r="Y202" s="55" t="str">
        <f>IFERROR(Inv_SY!M204/Inv_SY!$Z204-1,"")</f>
        <v/>
      </c>
      <c r="Z202" s="55" t="str">
        <f>IFERROR(Inv_SY!N204/Inv_SY!$Z204-1,"")</f>
        <v/>
      </c>
      <c r="AA202" s="55" t="str">
        <f>IFERROR(Inv_SY!O204/Inv_SY!$Z204-1,"")</f>
        <v/>
      </c>
      <c r="AB202" s="55" t="str">
        <f>IFERROR(Inv_SY!P204/Inv_SY!$Z204-1,"")</f>
        <v/>
      </c>
      <c r="AC202" s="55" t="str">
        <f>IFERROR(Inv_SY!Q204/Inv_SY!$Z204-1,"")</f>
        <v/>
      </c>
      <c r="AD202" s="55" t="str">
        <f>IFERROR(Inv_SY!R204/Inv_SY!$Z204-1,"")</f>
        <v/>
      </c>
      <c r="AE202" s="55" t="str">
        <f>IFERROR(Inv_SY!S204/Inv_SY!$Z204-1,"")</f>
        <v/>
      </c>
      <c r="AF202" s="55" t="str">
        <f>IFERROR(Inv_SY!T204/Inv_SY!$Z204-1,"")</f>
        <v/>
      </c>
      <c r="AG202" s="55" t="str">
        <f>IFERROR(Inv_SY!U204/Inv_SY!$Z204-1,"")</f>
        <v/>
      </c>
      <c r="AH202" s="55" t="str">
        <f>IFERROR(Inv_SY!V204/Inv_SY!$Y204-1,"")</f>
        <v/>
      </c>
      <c r="AI202" s="55" t="str">
        <f>IFERROR(Inv_SY!W204/Inv_SY!$Y204-1,"")</f>
        <v/>
      </c>
      <c r="AJ202" s="55" t="str">
        <f>IFERROR(Inv_SY!X204/Inv_SY!$Y204-1,"")</f>
        <v/>
      </c>
      <c r="AK202" s="55" t="str">
        <f>IFERROR(Inv_SY!V204/Inv_SY!$Z204-1,"")</f>
        <v/>
      </c>
      <c r="AL202" s="55" t="str">
        <f>IFERROR(Inv_SY!W204/Inv_SY!$Z204-1,"")</f>
        <v/>
      </c>
      <c r="AM202" s="55" t="str">
        <f>IFERROR(Inv_SY!X204/Inv_SY!$Z204-1,"")</f>
        <v/>
      </c>
    </row>
    <row r="203" spans="1:39" x14ac:dyDescent="0.3">
      <c r="A203" s="273">
        <f>YEAR(Table5[[#This Row],[Date]])+IF(MONTH(Table5[[#This Row],[Date]])&gt;=4,1,0)</f>
        <v>2026</v>
      </c>
      <c r="B203" s="273"/>
      <c r="C203" s="273">
        <f>YEAR(Table5[[#This Row],[Date]])</f>
        <v>2025</v>
      </c>
      <c r="D203" s="273"/>
      <c r="E203" s="273"/>
      <c r="F203" s="274" t="str">
        <f>TEXT(Table5[[#This Row],[Date]],"mmm-yy")</f>
        <v>Oct-25</v>
      </c>
      <c r="G203" s="273">
        <f t="shared" si="9"/>
        <v>31</v>
      </c>
      <c r="H203" s="275">
        <f t="shared" si="10"/>
        <v>45946</v>
      </c>
      <c r="I203" s="273">
        <v>8.02</v>
      </c>
      <c r="J203" s="55" t="str">
        <f>IFERROR(Inv_SY!J205/Inv_SY!$Y205-1,"")</f>
        <v/>
      </c>
      <c r="K203" s="55" t="str">
        <f>IFERROR(Inv_SY!K205/Inv_SY!$Y205-1,"")</f>
        <v/>
      </c>
      <c r="L203" s="55" t="str">
        <f>IFERROR(Inv_SY!L205/Inv_SY!$Y205-1,"")</f>
        <v/>
      </c>
      <c r="M203" s="55" t="str">
        <f>IFERROR(Inv_SY!M205/Inv_SY!$Y205-1,"")</f>
        <v/>
      </c>
      <c r="N203" s="55" t="str">
        <f>IFERROR(Inv_SY!N205/Inv_SY!$Y205-1,"")</f>
        <v/>
      </c>
      <c r="O203" s="55" t="str">
        <f>IFERROR(Inv_SY!O205/Inv_SY!$Y205-1,"")</f>
        <v/>
      </c>
      <c r="P203" s="55" t="str">
        <f>IFERROR(Inv_SY!P205/Inv_SY!$Y205-1,"")</f>
        <v/>
      </c>
      <c r="Q203" s="55" t="str">
        <f>IFERROR(Inv_SY!Q205/Inv_SY!$Y205-1,"")</f>
        <v/>
      </c>
      <c r="R203" s="55" t="str">
        <f>IFERROR(Inv_SY!R205/Inv_SY!$Y205-1,"")</f>
        <v/>
      </c>
      <c r="S203" s="55" t="str">
        <f>IFERROR(Inv_SY!S205/Inv_SY!$Y205-1,"")</f>
        <v/>
      </c>
      <c r="T203" s="55" t="str">
        <f>IFERROR(Inv_SY!T205/Inv_SY!$Y205-1,"")</f>
        <v/>
      </c>
      <c r="U203" s="55" t="str">
        <f>IFERROR(Inv_SY!U205/Inv_SY!$Y205-1,"")</f>
        <v/>
      </c>
      <c r="V203" s="55" t="str">
        <f>IFERROR(Inv_SY!J205/Inv_SY!$Z205-1,"")</f>
        <v/>
      </c>
      <c r="W203" s="55" t="str">
        <f>IFERROR(Inv_SY!K205/Inv_SY!$Z205-1,"")</f>
        <v/>
      </c>
      <c r="X203" s="55" t="str">
        <f>IFERROR(Inv_SY!L205/Inv_SY!$Z205-1,"")</f>
        <v/>
      </c>
      <c r="Y203" s="55" t="str">
        <f>IFERROR(Inv_SY!M205/Inv_SY!$Z205-1,"")</f>
        <v/>
      </c>
      <c r="Z203" s="55" t="str">
        <f>IFERROR(Inv_SY!N205/Inv_SY!$Z205-1,"")</f>
        <v/>
      </c>
      <c r="AA203" s="55" t="str">
        <f>IFERROR(Inv_SY!O205/Inv_SY!$Z205-1,"")</f>
        <v/>
      </c>
      <c r="AB203" s="55" t="str">
        <f>IFERROR(Inv_SY!P205/Inv_SY!$Z205-1,"")</f>
        <v/>
      </c>
      <c r="AC203" s="55" t="str">
        <f>IFERROR(Inv_SY!Q205/Inv_SY!$Z205-1,"")</f>
        <v/>
      </c>
      <c r="AD203" s="55" t="str">
        <f>IFERROR(Inv_SY!R205/Inv_SY!$Z205-1,"")</f>
        <v/>
      </c>
      <c r="AE203" s="55" t="str">
        <f>IFERROR(Inv_SY!S205/Inv_SY!$Z205-1,"")</f>
        <v/>
      </c>
      <c r="AF203" s="55" t="str">
        <f>IFERROR(Inv_SY!T205/Inv_SY!$Z205-1,"")</f>
        <v/>
      </c>
      <c r="AG203" s="55" t="str">
        <f>IFERROR(Inv_SY!U205/Inv_SY!$Z205-1,"")</f>
        <v/>
      </c>
      <c r="AH203" s="55" t="str">
        <f>IFERROR(Inv_SY!V205/Inv_SY!$Y205-1,"")</f>
        <v/>
      </c>
      <c r="AI203" s="55" t="str">
        <f>IFERROR(Inv_SY!W205/Inv_SY!$Y205-1,"")</f>
        <v/>
      </c>
      <c r="AJ203" s="55" t="str">
        <f>IFERROR(Inv_SY!X205/Inv_SY!$Y205-1,"")</f>
        <v/>
      </c>
      <c r="AK203" s="55" t="str">
        <f>IFERROR(Inv_SY!V205/Inv_SY!$Z205-1,"")</f>
        <v/>
      </c>
      <c r="AL203" s="55" t="str">
        <f>IFERROR(Inv_SY!W205/Inv_SY!$Z205-1,"")</f>
        <v/>
      </c>
      <c r="AM203" s="55" t="str">
        <f>IFERROR(Inv_SY!X205/Inv_SY!$Z205-1,"")</f>
        <v/>
      </c>
    </row>
    <row r="204" spans="1:39" x14ac:dyDescent="0.3">
      <c r="A204" s="273">
        <f>YEAR(Table5[[#This Row],[Date]])+IF(MONTH(Table5[[#This Row],[Date]])&gt;=4,1,0)</f>
        <v>2026</v>
      </c>
      <c r="B204" s="273"/>
      <c r="C204" s="273">
        <f>YEAR(Table5[[#This Row],[Date]])</f>
        <v>2025</v>
      </c>
      <c r="D204" s="273"/>
      <c r="E204" s="273"/>
      <c r="F204" s="274" t="str">
        <f>TEXT(Table5[[#This Row],[Date]],"mmm-yy")</f>
        <v>Oct-25</v>
      </c>
      <c r="G204" s="273">
        <f t="shared" si="9"/>
        <v>31</v>
      </c>
      <c r="H204" s="275">
        <f t="shared" si="10"/>
        <v>45947</v>
      </c>
      <c r="I204" s="273">
        <v>8.02</v>
      </c>
      <c r="J204" s="55" t="str">
        <f>IFERROR(Inv_SY!J206/Inv_SY!$Y206-1,"")</f>
        <v/>
      </c>
      <c r="K204" s="55" t="str">
        <f>IFERROR(Inv_SY!K206/Inv_SY!$Y206-1,"")</f>
        <v/>
      </c>
      <c r="L204" s="55" t="str">
        <f>IFERROR(Inv_SY!L206/Inv_SY!$Y206-1,"")</f>
        <v/>
      </c>
      <c r="M204" s="55" t="str">
        <f>IFERROR(Inv_SY!M206/Inv_SY!$Y206-1,"")</f>
        <v/>
      </c>
      <c r="N204" s="55" t="str">
        <f>IFERROR(Inv_SY!N206/Inv_SY!$Y206-1,"")</f>
        <v/>
      </c>
      <c r="O204" s="55" t="str">
        <f>IFERROR(Inv_SY!O206/Inv_SY!$Y206-1,"")</f>
        <v/>
      </c>
      <c r="P204" s="55" t="str">
        <f>IFERROR(Inv_SY!P206/Inv_SY!$Y206-1,"")</f>
        <v/>
      </c>
      <c r="Q204" s="55" t="str">
        <f>IFERROR(Inv_SY!Q206/Inv_SY!$Y206-1,"")</f>
        <v/>
      </c>
      <c r="R204" s="55" t="str">
        <f>IFERROR(Inv_SY!R206/Inv_SY!$Y206-1,"")</f>
        <v/>
      </c>
      <c r="S204" s="55" t="str">
        <f>IFERROR(Inv_SY!S206/Inv_SY!$Y206-1,"")</f>
        <v/>
      </c>
      <c r="T204" s="55" t="str">
        <f>IFERROR(Inv_SY!T206/Inv_SY!$Y206-1,"")</f>
        <v/>
      </c>
      <c r="U204" s="55" t="str">
        <f>IFERROR(Inv_SY!U206/Inv_SY!$Y206-1,"")</f>
        <v/>
      </c>
      <c r="V204" s="55" t="str">
        <f>IFERROR(Inv_SY!J206/Inv_SY!$Z206-1,"")</f>
        <v/>
      </c>
      <c r="W204" s="55" t="str">
        <f>IFERROR(Inv_SY!K206/Inv_SY!$Z206-1,"")</f>
        <v/>
      </c>
      <c r="X204" s="55" t="str">
        <f>IFERROR(Inv_SY!L206/Inv_SY!$Z206-1,"")</f>
        <v/>
      </c>
      <c r="Y204" s="55" t="str">
        <f>IFERROR(Inv_SY!M206/Inv_SY!$Z206-1,"")</f>
        <v/>
      </c>
      <c r="Z204" s="55" t="str">
        <f>IFERROR(Inv_SY!N206/Inv_SY!$Z206-1,"")</f>
        <v/>
      </c>
      <c r="AA204" s="55" t="str">
        <f>IFERROR(Inv_SY!O206/Inv_SY!$Z206-1,"")</f>
        <v/>
      </c>
      <c r="AB204" s="55" t="str">
        <f>IFERROR(Inv_SY!P206/Inv_SY!$Z206-1,"")</f>
        <v/>
      </c>
      <c r="AC204" s="55" t="str">
        <f>IFERROR(Inv_SY!Q206/Inv_SY!$Z206-1,"")</f>
        <v/>
      </c>
      <c r="AD204" s="55" t="str">
        <f>IFERROR(Inv_SY!R206/Inv_SY!$Z206-1,"")</f>
        <v/>
      </c>
      <c r="AE204" s="55" t="str">
        <f>IFERROR(Inv_SY!S206/Inv_SY!$Z206-1,"")</f>
        <v/>
      </c>
      <c r="AF204" s="55" t="str">
        <f>IFERROR(Inv_SY!T206/Inv_SY!$Z206-1,"")</f>
        <v/>
      </c>
      <c r="AG204" s="55" t="str">
        <f>IFERROR(Inv_SY!U206/Inv_SY!$Z206-1,"")</f>
        <v/>
      </c>
      <c r="AH204" s="55" t="str">
        <f>IFERROR(Inv_SY!V206/Inv_SY!$Y206-1,"")</f>
        <v/>
      </c>
      <c r="AI204" s="55" t="str">
        <f>IFERROR(Inv_SY!W206/Inv_SY!$Y206-1,"")</f>
        <v/>
      </c>
      <c r="AJ204" s="55" t="str">
        <f>IFERROR(Inv_SY!X206/Inv_SY!$Y206-1,"")</f>
        <v/>
      </c>
      <c r="AK204" s="55" t="str">
        <f>IFERROR(Inv_SY!V206/Inv_SY!$Z206-1,"")</f>
        <v/>
      </c>
      <c r="AL204" s="55" t="str">
        <f>IFERROR(Inv_SY!W206/Inv_SY!$Z206-1,"")</f>
        <v/>
      </c>
      <c r="AM204" s="55" t="str">
        <f>IFERROR(Inv_SY!X206/Inv_SY!$Z206-1,"")</f>
        <v/>
      </c>
    </row>
    <row r="205" spans="1:39" x14ac:dyDescent="0.3">
      <c r="A205" s="273">
        <f>YEAR(Table5[[#This Row],[Date]])+IF(MONTH(Table5[[#This Row],[Date]])&gt;=4,1,0)</f>
        <v>2026</v>
      </c>
      <c r="B205" s="273"/>
      <c r="C205" s="273">
        <f>YEAR(Table5[[#This Row],[Date]])</f>
        <v>2025</v>
      </c>
      <c r="D205" s="273"/>
      <c r="E205" s="273"/>
      <c r="F205" s="274" t="str">
        <f>TEXT(Table5[[#This Row],[Date]],"mmm-yy")</f>
        <v>Oct-25</v>
      </c>
      <c r="G205" s="273">
        <f t="shared" si="9"/>
        <v>31</v>
      </c>
      <c r="H205" s="275">
        <f t="shared" si="10"/>
        <v>45948</v>
      </c>
      <c r="I205" s="273">
        <v>8.02</v>
      </c>
      <c r="J205" s="55" t="str">
        <f>IFERROR(Inv_SY!J207/Inv_SY!$Y207-1,"")</f>
        <v/>
      </c>
      <c r="K205" s="55" t="str">
        <f>IFERROR(Inv_SY!K207/Inv_SY!$Y207-1,"")</f>
        <v/>
      </c>
      <c r="L205" s="55" t="str">
        <f>IFERROR(Inv_SY!L207/Inv_SY!$Y207-1,"")</f>
        <v/>
      </c>
      <c r="M205" s="55" t="str">
        <f>IFERROR(Inv_SY!M207/Inv_SY!$Y207-1,"")</f>
        <v/>
      </c>
      <c r="N205" s="55" t="str">
        <f>IFERROR(Inv_SY!N207/Inv_SY!$Y207-1,"")</f>
        <v/>
      </c>
      <c r="O205" s="55" t="str">
        <f>IFERROR(Inv_SY!O207/Inv_SY!$Y207-1,"")</f>
        <v/>
      </c>
      <c r="P205" s="55" t="str">
        <f>IFERROR(Inv_SY!P207/Inv_SY!$Y207-1,"")</f>
        <v/>
      </c>
      <c r="Q205" s="55" t="str">
        <f>IFERROR(Inv_SY!Q207/Inv_SY!$Y207-1,"")</f>
        <v/>
      </c>
      <c r="R205" s="55" t="str">
        <f>IFERROR(Inv_SY!R207/Inv_SY!$Y207-1,"")</f>
        <v/>
      </c>
      <c r="S205" s="55" t="str">
        <f>IFERROR(Inv_SY!S207/Inv_SY!$Y207-1,"")</f>
        <v/>
      </c>
      <c r="T205" s="55" t="str">
        <f>IFERROR(Inv_SY!T207/Inv_SY!$Y207-1,"")</f>
        <v/>
      </c>
      <c r="U205" s="55" t="str">
        <f>IFERROR(Inv_SY!U207/Inv_SY!$Y207-1,"")</f>
        <v/>
      </c>
      <c r="V205" s="55" t="str">
        <f>IFERROR(Inv_SY!J207/Inv_SY!$Z207-1,"")</f>
        <v/>
      </c>
      <c r="W205" s="55" t="str">
        <f>IFERROR(Inv_SY!K207/Inv_SY!$Z207-1,"")</f>
        <v/>
      </c>
      <c r="X205" s="55" t="str">
        <f>IFERROR(Inv_SY!L207/Inv_SY!$Z207-1,"")</f>
        <v/>
      </c>
      <c r="Y205" s="55" t="str">
        <f>IFERROR(Inv_SY!M207/Inv_SY!$Z207-1,"")</f>
        <v/>
      </c>
      <c r="Z205" s="55" t="str">
        <f>IFERROR(Inv_SY!N207/Inv_SY!$Z207-1,"")</f>
        <v/>
      </c>
      <c r="AA205" s="55" t="str">
        <f>IFERROR(Inv_SY!O207/Inv_SY!$Z207-1,"")</f>
        <v/>
      </c>
      <c r="AB205" s="55" t="str">
        <f>IFERROR(Inv_SY!P207/Inv_SY!$Z207-1,"")</f>
        <v/>
      </c>
      <c r="AC205" s="55" t="str">
        <f>IFERROR(Inv_SY!Q207/Inv_SY!$Z207-1,"")</f>
        <v/>
      </c>
      <c r="AD205" s="55" t="str">
        <f>IFERROR(Inv_SY!R207/Inv_SY!$Z207-1,"")</f>
        <v/>
      </c>
      <c r="AE205" s="55" t="str">
        <f>IFERROR(Inv_SY!S207/Inv_SY!$Z207-1,"")</f>
        <v/>
      </c>
      <c r="AF205" s="55" t="str">
        <f>IFERROR(Inv_SY!T207/Inv_SY!$Z207-1,"")</f>
        <v/>
      </c>
      <c r="AG205" s="55" t="str">
        <f>IFERROR(Inv_SY!U207/Inv_SY!$Z207-1,"")</f>
        <v/>
      </c>
      <c r="AH205" s="55" t="str">
        <f>IFERROR(Inv_SY!V207/Inv_SY!$Y207-1,"")</f>
        <v/>
      </c>
      <c r="AI205" s="55" t="str">
        <f>IFERROR(Inv_SY!W207/Inv_SY!$Y207-1,"")</f>
        <v/>
      </c>
      <c r="AJ205" s="55" t="str">
        <f>IFERROR(Inv_SY!X207/Inv_SY!$Y207-1,"")</f>
        <v/>
      </c>
      <c r="AK205" s="55" t="str">
        <f>IFERROR(Inv_SY!V207/Inv_SY!$Z207-1,"")</f>
        <v/>
      </c>
      <c r="AL205" s="55" t="str">
        <f>IFERROR(Inv_SY!W207/Inv_SY!$Z207-1,"")</f>
        <v/>
      </c>
      <c r="AM205" s="55" t="str">
        <f>IFERROR(Inv_SY!X207/Inv_SY!$Z207-1,"")</f>
        <v/>
      </c>
    </row>
    <row r="206" spans="1:39" x14ac:dyDescent="0.3">
      <c r="A206" s="273">
        <f>YEAR(Table5[[#This Row],[Date]])+IF(MONTH(Table5[[#This Row],[Date]])&gt;=4,1,0)</f>
        <v>2026</v>
      </c>
      <c r="B206" s="273"/>
      <c r="C206" s="273">
        <f>YEAR(Table5[[#This Row],[Date]])</f>
        <v>2025</v>
      </c>
      <c r="D206" s="273"/>
      <c r="E206" s="273"/>
      <c r="F206" s="274" t="str">
        <f>TEXT(Table5[[#This Row],[Date]],"mmm-yy")</f>
        <v>Oct-25</v>
      </c>
      <c r="G206" s="273">
        <f t="shared" si="9"/>
        <v>31</v>
      </c>
      <c r="H206" s="275">
        <f t="shared" si="10"/>
        <v>45949</v>
      </c>
      <c r="I206" s="273">
        <v>8.02</v>
      </c>
      <c r="J206" s="55" t="str">
        <f>IFERROR(Inv_SY!J208/Inv_SY!$Y208-1,"")</f>
        <v/>
      </c>
      <c r="K206" s="55" t="str">
        <f>IFERROR(Inv_SY!K208/Inv_SY!$Y208-1,"")</f>
        <v/>
      </c>
      <c r="L206" s="55" t="str">
        <f>IFERROR(Inv_SY!L208/Inv_SY!$Y208-1,"")</f>
        <v/>
      </c>
      <c r="M206" s="55" t="str">
        <f>IFERROR(Inv_SY!M208/Inv_SY!$Y208-1,"")</f>
        <v/>
      </c>
      <c r="N206" s="55" t="str">
        <f>IFERROR(Inv_SY!N208/Inv_SY!$Y208-1,"")</f>
        <v/>
      </c>
      <c r="O206" s="55" t="str">
        <f>IFERROR(Inv_SY!O208/Inv_SY!$Y208-1,"")</f>
        <v/>
      </c>
      <c r="P206" s="55" t="str">
        <f>IFERROR(Inv_SY!P208/Inv_SY!$Y208-1,"")</f>
        <v/>
      </c>
      <c r="Q206" s="55" t="str">
        <f>IFERROR(Inv_SY!Q208/Inv_SY!$Y208-1,"")</f>
        <v/>
      </c>
      <c r="R206" s="55" t="str">
        <f>IFERROR(Inv_SY!R208/Inv_SY!$Y208-1,"")</f>
        <v/>
      </c>
      <c r="S206" s="55" t="str">
        <f>IFERROR(Inv_SY!S208/Inv_SY!$Y208-1,"")</f>
        <v/>
      </c>
      <c r="T206" s="55" t="str">
        <f>IFERROR(Inv_SY!T208/Inv_SY!$Y208-1,"")</f>
        <v/>
      </c>
      <c r="U206" s="55" t="str">
        <f>IFERROR(Inv_SY!U208/Inv_SY!$Y208-1,"")</f>
        <v/>
      </c>
      <c r="V206" s="55" t="str">
        <f>IFERROR(Inv_SY!J208/Inv_SY!$Z208-1,"")</f>
        <v/>
      </c>
      <c r="W206" s="55" t="str">
        <f>IFERROR(Inv_SY!K208/Inv_SY!$Z208-1,"")</f>
        <v/>
      </c>
      <c r="X206" s="55" t="str">
        <f>IFERROR(Inv_SY!L208/Inv_SY!$Z208-1,"")</f>
        <v/>
      </c>
      <c r="Y206" s="55" t="str">
        <f>IFERROR(Inv_SY!M208/Inv_SY!$Z208-1,"")</f>
        <v/>
      </c>
      <c r="Z206" s="55" t="str">
        <f>IFERROR(Inv_SY!N208/Inv_SY!$Z208-1,"")</f>
        <v/>
      </c>
      <c r="AA206" s="55" t="str">
        <f>IFERROR(Inv_SY!O208/Inv_SY!$Z208-1,"")</f>
        <v/>
      </c>
      <c r="AB206" s="55" t="str">
        <f>IFERROR(Inv_SY!P208/Inv_SY!$Z208-1,"")</f>
        <v/>
      </c>
      <c r="AC206" s="55" t="str">
        <f>IFERROR(Inv_SY!Q208/Inv_SY!$Z208-1,"")</f>
        <v/>
      </c>
      <c r="AD206" s="55" t="str">
        <f>IFERROR(Inv_SY!R208/Inv_SY!$Z208-1,"")</f>
        <v/>
      </c>
      <c r="AE206" s="55" t="str">
        <f>IFERROR(Inv_SY!S208/Inv_SY!$Z208-1,"")</f>
        <v/>
      </c>
      <c r="AF206" s="55" t="str">
        <f>IFERROR(Inv_SY!T208/Inv_SY!$Z208-1,"")</f>
        <v/>
      </c>
      <c r="AG206" s="55" t="str">
        <f>IFERROR(Inv_SY!U208/Inv_SY!$Z208-1,"")</f>
        <v/>
      </c>
      <c r="AH206" s="55" t="str">
        <f>IFERROR(Inv_SY!V208/Inv_SY!$Y208-1,"")</f>
        <v/>
      </c>
      <c r="AI206" s="55" t="str">
        <f>IFERROR(Inv_SY!W208/Inv_SY!$Y208-1,"")</f>
        <v/>
      </c>
      <c r="AJ206" s="55" t="str">
        <f>IFERROR(Inv_SY!X208/Inv_SY!$Y208-1,"")</f>
        <v/>
      </c>
      <c r="AK206" s="55" t="str">
        <f>IFERROR(Inv_SY!V208/Inv_SY!$Z208-1,"")</f>
        <v/>
      </c>
      <c r="AL206" s="55" t="str">
        <f>IFERROR(Inv_SY!W208/Inv_SY!$Z208-1,"")</f>
        <v/>
      </c>
      <c r="AM206" s="55" t="str">
        <f>IFERROR(Inv_SY!X208/Inv_SY!$Z208-1,"")</f>
        <v/>
      </c>
    </row>
    <row r="207" spans="1:39" x14ac:dyDescent="0.3">
      <c r="A207" s="273">
        <f>YEAR(Table5[[#This Row],[Date]])+IF(MONTH(Table5[[#This Row],[Date]])&gt;=4,1,0)</f>
        <v>2026</v>
      </c>
      <c r="B207" s="273"/>
      <c r="C207" s="273">
        <f>YEAR(Table5[[#This Row],[Date]])</f>
        <v>2025</v>
      </c>
      <c r="D207" s="273"/>
      <c r="E207" s="273"/>
      <c r="F207" s="274" t="str">
        <f>TEXT(Table5[[#This Row],[Date]],"mmm-yy")</f>
        <v>Oct-25</v>
      </c>
      <c r="G207" s="273">
        <f t="shared" si="9"/>
        <v>31</v>
      </c>
      <c r="H207" s="275">
        <f t="shared" si="10"/>
        <v>45950</v>
      </c>
      <c r="I207" s="273">
        <v>8.02</v>
      </c>
      <c r="J207" s="55" t="str">
        <f>IFERROR(Inv_SY!J209/Inv_SY!$Y209-1,"")</f>
        <v/>
      </c>
      <c r="K207" s="55" t="str">
        <f>IFERROR(Inv_SY!K209/Inv_SY!$Y209-1,"")</f>
        <v/>
      </c>
      <c r="L207" s="55" t="str">
        <f>IFERROR(Inv_SY!L209/Inv_SY!$Y209-1,"")</f>
        <v/>
      </c>
      <c r="M207" s="55" t="str">
        <f>IFERROR(Inv_SY!M209/Inv_SY!$Y209-1,"")</f>
        <v/>
      </c>
      <c r="N207" s="55" t="str">
        <f>IFERROR(Inv_SY!N209/Inv_SY!$Y209-1,"")</f>
        <v/>
      </c>
      <c r="O207" s="55" t="str">
        <f>IFERROR(Inv_SY!O209/Inv_SY!$Y209-1,"")</f>
        <v/>
      </c>
      <c r="P207" s="55" t="str">
        <f>IFERROR(Inv_SY!P209/Inv_SY!$Y209-1,"")</f>
        <v/>
      </c>
      <c r="Q207" s="55" t="str">
        <f>IFERROR(Inv_SY!Q209/Inv_SY!$Y209-1,"")</f>
        <v/>
      </c>
      <c r="R207" s="55" t="str">
        <f>IFERROR(Inv_SY!R209/Inv_SY!$Y209-1,"")</f>
        <v/>
      </c>
      <c r="S207" s="55" t="str">
        <f>IFERROR(Inv_SY!S209/Inv_SY!$Y209-1,"")</f>
        <v/>
      </c>
      <c r="T207" s="55" t="str">
        <f>IFERROR(Inv_SY!T209/Inv_SY!$Y209-1,"")</f>
        <v/>
      </c>
      <c r="U207" s="55" t="str">
        <f>IFERROR(Inv_SY!U209/Inv_SY!$Y209-1,"")</f>
        <v/>
      </c>
      <c r="V207" s="55" t="str">
        <f>IFERROR(Inv_SY!J209/Inv_SY!$Z209-1,"")</f>
        <v/>
      </c>
      <c r="W207" s="55" t="str">
        <f>IFERROR(Inv_SY!K209/Inv_SY!$Z209-1,"")</f>
        <v/>
      </c>
      <c r="X207" s="55" t="str">
        <f>IFERROR(Inv_SY!L209/Inv_SY!$Z209-1,"")</f>
        <v/>
      </c>
      <c r="Y207" s="55" t="str">
        <f>IFERROR(Inv_SY!M209/Inv_SY!$Z209-1,"")</f>
        <v/>
      </c>
      <c r="Z207" s="55" t="str">
        <f>IFERROR(Inv_SY!N209/Inv_SY!$Z209-1,"")</f>
        <v/>
      </c>
      <c r="AA207" s="55" t="str">
        <f>IFERROR(Inv_SY!O209/Inv_SY!$Z209-1,"")</f>
        <v/>
      </c>
      <c r="AB207" s="55" t="str">
        <f>IFERROR(Inv_SY!P209/Inv_SY!$Z209-1,"")</f>
        <v/>
      </c>
      <c r="AC207" s="55" t="str">
        <f>IFERROR(Inv_SY!Q209/Inv_SY!$Z209-1,"")</f>
        <v/>
      </c>
      <c r="AD207" s="55" t="str">
        <f>IFERROR(Inv_SY!R209/Inv_SY!$Z209-1,"")</f>
        <v/>
      </c>
      <c r="AE207" s="55" t="str">
        <f>IFERROR(Inv_SY!S209/Inv_SY!$Z209-1,"")</f>
        <v/>
      </c>
      <c r="AF207" s="55" t="str">
        <f>IFERROR(Inv_SY!T209/Inv_SY!$Z209-1,"")</f>
        <v/>
      </c>
      <c r="AG207" s="55" t="str">
        <f>IFERROR(Inv_SY!U209/Inv_SY!$Z209-1,"")</f>
        <v/>
      </c>
      <c r="AH207" s="55" t="str">
        <f>IFERROR(Inv_SY!V209/Inv_SY!$Y209-1,"")</f>
        <v/>
      </c>
      <c r="AI207" s="55" t="str">
        <f>IFERROR(Inv_SY!W209/Inv_SY!$Y209-1,"")</f>
        <v/>
      </c>
      <c r="AJ207" s="55" t="str">
        <f>IFERROR(Inv_SY!X209/Inv_SY!$Y209-1,"")</f>
        <v/>
      </c>
      <c r="AK207" s="55" t="str">
        <f>IFERROR(Inv_SY!V209/Inv_SY!$Z209-1,"")</f>
        <v/>
      </c>
      <c r="AL207" s="55" t="str">
        <f>IFERROR(Inv_SY!W209/Inv_SY!$Z209-1,"")</f>
        <v/>
      </c>
      <c r="AM207" s="55" t="str">
        <f>IFERROR(Inv_SY!X209/Inv_SY!$Z209-1,"")</f>
        <v/>
      </c>
    </row>
    <row r="208" spans="1:39" x14ac:dyDescent="0.3">
      <c r="A208" s="273">
        <f>YEAR(Table5[[#This Row],[Date]])+IF(MONTH(Table5[[#This Row],[Date]])&gt;=4,1,0)</f>
        <v>2026</v>
      </c>
      <c r="B208" s="273"/>
      <c r="C208" s="273">
        <f>YEAR(Table5[[#This Row],[Date]])</f>
        <v>2025</v>
      </c>
      <c r="D208" s="273"/>
      <c r="E208" s="273"/>
      <c r="F208" s="274" t="str">
        <f>TEXT(Table5[[#This Row],[Date]],"mmm-yy")</f>
        <v>Oct-25</v>
      </c>
      <c r="G208" s="273">
        <f t="shared" si="9"/>
        <v>31</v>
      </c>
      <c r="H208" s="275">
        <f t="shared" si="10"/>
        <v>45951</v>
      </c>
      <c r="I208" s="273">
        <v>8.02</v>
      </c>
      <c r="J208" s="55" t="str">
        <f>IFERROR(Inv_SY!J210/Inv_SY!$Y210-1,"")</f>
        <v/>
      </c>
      <c r="K208" s="55" t="str">
        <f>IFERROR(Inv_SY!K210/Inv_SY!$Y210-1,"")</f>
        <v/>
      </c>
      <c r="L208" s="55" t="str">
        <f>IFERROR(Inv_SY!L210/Inv_SY!$Y210-1,"")</f>
        <v/>
      </c>
      <c r="M208" s="55" t="str">
        <f>IFERROR(Inv_SY!M210/Inv_SY!$Y210-1,"")</f>
        <v/>
      </c>
      <c r="N208" s="55" t="str">
        <f>IFERROR(Inv_SY!N210/Inv_SY!$Y210-1,"")</f>
        <v/>
      </c>
      <c r="O208" s="55" t="str">
        <f>IFERROR(Inv_SY!O210/Inv_SY!$Y210-1,"")</f>
        <v/>
      </c>
      <c r="P208" s="55" t="str">
        <f>IFERROR(Inv_SY!P210/Inv_SY!$Y210-1,"")</f>
        <v/>
      </c>
      <c r="Q208" s="55" t="str">
        <f>IFERROR(Inv_SY!Q210/Inv_SY!$Y210-1,"")</f>
        <v/>
      </c>
      <c r="R208" s="55" t="str">
        <f>IFERROR(Inv_SY!R210/Inv_SY!$Y210-1,"")</f>
        <v/>
      </c>
      <c r="S208" s="55" t="str">
        <f>IFERROR(Inv_SY!S210/Inv_SY!$Y210-1,"")</f>
        <v/>
      </c>
      <c r="T208" s="55" t="str">
        <f>IFERROR(Inv_SY!T210/Inv_SY!$Y210-1,"")</f>
        <v/>
      </c>
      <c r="U208" s="55" t="str">
        <f>IFERROR(Inv_SY!U210/Inv_SY!$Y210-1,"")</f>
        <v/>
      </c>
      <c r="V208" s="55" t="str">
        <f>IFERROR(Inv_SY!J210/Inv_SY!$Z210-1,"")</f>
        <v/>
      </c>
      <c r="W208" s="55" t="str">
        <f>IFERROR(Inv_SY!K210/Inv_SY!$Z210-1,"")</f>
        <v/>
      </c>
      <c r="X208" s="55" t="str">
        <f>IFERROR(Inv_SY!L210/Inv_SY!$Z210-1,"")</f>
        <v/>
      </c>
      <c r="Y208" s="55" t="str">
        <f>IFERROR(Inv_SY!M210/Inv_SY!$Z210-1,"")</f>
        <v/>
      </c>
      <c r="Z208" s="55" t="str">
        <f>IFERROR(Inv_SY!N210/Inv_SY!$Z210-1,"")</f>
        <v/>
      </c>
      <c r="AA208" s="55" t="str">
        <f>IFERROR(Inv_SY!O210/Inv_SY!$Z210-1,"")</f>
        <v/>
      </c>
      <c r="AB208" s="55" t="str">
        <f>IFERROR(Inv_SY!P210/Inv_SY!$Z210-1,"")</f>
        <v/>
      </c>
      <c r="AC208" s="55" t="str">
        <f>IFERROR(Inv_SY!Q210/Inv_SY!$Z210-1,"")</f>
        <v/>
      </c>
      <c r="AD208" s="55" t="str">
        <f>IFERROR(Inv_SY!R210/Inv_SY!$Z210-1,"")</f>
        <v/>
      </c>
      <c r="AE208" s="55" t="str">
        <f>IFERROR(Inv_SY!S210/Inv_SY!$Z210-1,"")</f>
        <v/>
      </c>
      <c r="AF208" s="55" t="str">
        <f>IFERROR(Inv_SY!T210/Inv_SY!$Z210-1,"")</f>
        <v/>
      </c>
      <c r="AG208" s="55" t="str">
        <f>IFERROR(Inv_SY!U210/Inv_SY!$Z210-1,"")</f>
        <v/>
      </c>
      <c r="AH208" s="55" t="str">
        <f>IFERROR(Inv_SY!V210/Inv_SY!$Y210-1,"")</f>
        <v/>
      </c>
      <c r="AI208" s="55" t="str">
        <f>IFERROR(Inv_SY!W210/Inv_SY!$Y210-1,"")</f>
        <v/>
      </c>
      <c r="AJ208" s="55" t="str">
        <f>IFERROR(Inv_SY!X210/Inv_SY!$Y210-1,"")</f>
        <v/>
      </c>
      <c r="AK208" s="55" t="str">
        <f>IFERROR(Inv_SY!V210/Inv_SY!$Z210-1,"")</f>
        <v/>
      </c>
      <c r="AL208" s="55" t="str">
        <f>IFERROR(Inv_SY!W210/Inv_SY!$Z210-1,"")</f>
        <v/>
      </c>
      <c r="AM208" s="55" t="str">
        <f>IFERROR(Inv_SY!X210/Inv_SY!$Z210-1,"")</f>
        <v/>
      </c>
    </row>
    <row r="209" spans="1:39" x14ac:dyDescent="0.3">
      <c r="A209" s="273">
        <f>YEAR(Table5[[#This Row],[Date]])+IF(MONTH(Table5[[#This Row],[Date]])&gt;=4,1,0)</f>
        <v>2026</v>
      </c>
      <c r="B209" s="273"/>
      <c r="C209" s="273">
        <f>YEAR(Table5[[#This Row],[Date]])</f>
        <v>2025</v>
      </c>
      <c r="D209" s="273"/>
      <c r="E209" s="273"/>
      <c r="F209" s="274" t="str">
        <f>TEXT(Table5[[#This Row],[Date]],"mmm-yy")</f>
        <v>Oct-25</v>
      </c>
      <c r="G209" s="273">
        <f t="shared" si="9"/>
        <v>31</v>
      </c>
      <c r="H209" s="275">
        <f t="shared" si="10"/>
        <v>45952</v>
      </c>
      <c r="I209" s="273">
        <v>8.02</v>
      </c>
      <c r="J209" s="55" t="str">
        <f>IFERROR(Inv_SY!J211/Inv_SY!$Y211-1,"")</f>
        <v/>
      </c>
      <c r="K209" s="55" t="str">
        <f>IFERROR(Inv_SY!K211/Inv_SY!$Y211-1,"")</f>
        <v/>
      </c>
      <c r="L209" s="55" t="str">
        <f>IFERROR(Inv_SY!L211/Inv_SY!$Y211-1,"")</f>
        <v/>
      </c>
      <c r="M209" s="55" t="str">
        <f>IFERROR(Inv_SY!M211/Inv_SY!$Y211-1,"")</f>
        <v/>
      </c>
      <c r="N209" s="55" t="str">
        <f>IFERROR(Inv_SY!N211/Inv_SY!$Y211-1,"")</f>
        <v/>
      </c>
      <c r="O209" s="55" t="str">
        <f>IFERROR(Inv_SY!O211/Inv_SY!$Y211-1,"")</f>
        <v/>
      </c>
      <c r="P209" s="55" t="str">
        <f>IFERROR(Inv_SY!P211/Inv_SY!$Y211-1,"")</f>
        <v/>
      </c>
      <c r="Q209" s="55" t="str">
        <f>IFERROR(Inv_SY!Q211/Inv_SY!$Y211-1,"")</f>
        <v/>
      </c>
      <c r="R209" s="55" t="str">
        <f>IFERROR(Inv_SY!R211/Inv_SY!$Y211-1,"")</f>
        <v/>
      </c>
      <c r="S209" s="55" t="str">
        <f>IFERROR(Inv_SY!S211/Inv_SY!$Y211-1,"")</f>
        <v/>
      </c>
      <c r="T209" s="55" t="str">
        <f>IFERROR(Inv_SY!T211/Inv_SY!$Y211-1,"")</f>
        <v/>
      </c>
      <c r="U209" s="55" t="str">
        <f>IFERROR(Inv_SY!U211/Inv_SY!$Y211-1,"")</f>
        <v/>
      </c>
      <c r="V209" s="55" t="str">
        <f>IFERROR(Inv_SY!J211/Inv_SY!$Z211-1,"")</f>
        <v/>
      </c>
      <c r="W209" s="55" t="str">
        <f>IFERROR(Inv_SY!K211/Inv_SY!$Z211-1,"")</f>
        <v/>
      </c>
      <c r="X209" s="55" t="str">
        <f>IFERROR(Inv_SY!L211/Inv_SY!$Z211-1,"")</f>
        <v/>
      </c>
      <c r="Y209" s="55" t="str">
        <f>IFERROR(Inv_SY!M211/Inv_SY!$Z211-1,"")</f>
        <v/>
      </c>
      <c r="Z209" s="55" t="str">
        <f>IFERROR(Inv_SY!N211/Inv_SY!$Z211-1,"")</f>
        <v/>
      </c>
      <c r="AA209" s="55" t="str">
        <f>IFERROR(Inv_SY!O211/Inv_SY!$Z211-1,"")</f>
        <v/>
      </c>
      <c r="AB209" s="55" t="str">
        <f>IFERROR(Inv_SY!P211/Inv_SY!$Z211-1,"")</f>
        <v/>
      </c>
      <c r="AC209" s="55" t="str">
        <f>IFERROR(Inv_SY!Q211/Inv_SY!$Z211-1,"")</f>
        <v/>
      </c>
      <c r="AD209" s="55" t="str">
        <f>IFERROR(Inv_SY!R211/Inv_SY!$Z211-1,"")</f>
        <v/>
      </c>
      <c r="AE209" s="55" t="str">
        <f>IFERROR(Inv_SY!S211/Inv_SY!$Z211-1,"")</f>
        <v/>
      </c>
      <c r="AF209" s="55" t="str">
        <f>IFERROR(Inv_SY!T211/Inv_SY!$Z211-1,"")</f>
        <v/>
      </c>
      <c r="AG209" s="55" t="str">
        <f>IFERROR(Inv_SY!U211/Inv_SY!$Z211-1,"")</f>
        <v/>
      </c>
      <c r="AH209" s="55" t="str">
        <f>IFERROR(Inv_SY!V211/Inv_SY!$Y211-1,"")</f>
        <v/>
      </c>
      <c r="AI209" s="55" t="str">
        <f>IFERROR(Inv_SY!W211/Inv_SY!$Y211-1,"")</f>
        <v/>
      </c>
      <c r="AJ209" s="55" t="str">
        <f>IFERROR(Inv_SY!X211/Inv_SY!$Y211-1,"")</f>
        <v/>
      </c>
      <c r="AK209" s="55" t="str">
        <f>IFERROR(Inv_SY!V211/Inv_SY!$Z211-1,"")</f>
        <v/>
      </c>
      <c r="AL209" s="55" t="str">
        <f>IFERROR(Inv_SY!W211/Inv_SY!$Z211-1,"")</f>
        <v/>
      </c>
      <c r="AM209" s="55" t="str">
        <f>IFERROR(Inv_SY!X211/Inv_SY!$Z211-1,"")</f>
        <v/>
      </c>
    </row>
    <row r="210" spans="1:39" x14ac:dyDescent="0.3">
      <c r="A210" s="273">
        <f>YEAR(Table5[[#This Row],[Date]])+IF(MONTH(Table5[[#This Row],[Date]])&gt;=4,1,0)</f>
        <v>2026</v>
      </c>
      <c r="B210" s="273"/>
      <c r="C210" s="273">
        <f>YEAR(Table5[[#This Row],[Date]])</f>
        <v>2025</v>
      </c>
      <c r="D210" s="273"/>
      <c r="E210" s="273"/>
      <c r="F210" s="274" t="str">
        <f>TEXT(Table5[[#This Row],[Date]],"mmm-yy")</f>
        <v>Oct-25</v>
      </c>
      <c r="G210" s="273">
        <f t="shared" si="9"/>
        <v>31</v>
      </c>
      <c r="H210" s="275">
        <f t="shared" si="10"/>
        <v>45953</v>
      </c>
      <c r="I210" s="273">
        <v>8.02</v>
      </c>
      <c r="J210" s="55" t="str">
        <f>IFERROR(Inv_SY!J212/Inv_SY!$Y212-1,"")</f>
        <v/>
      </c>
      <c r="K210" s="55" t="str">
        <f>IFERROR(Inv_SY!K212/Inv_SY!$Y212-1,"")</f>
        <v/>
      </c>
      <c r="L210" s="55" t="str">
        <f>IFERROR(Inv_SY!L212/Inv_SY!$Y212-1,"")</f>
        <v/>
      </c>
      <c r="M210" s="55" t="str">
        <f>IFERROR(Inv_SY!M212/Inv_SY!$Y212-1,"")</f>
        <v/>
      </c>
      <c r="N210" s="55" t="str">
        <f>IFERROR(Inv_SY!N212/Inv_SY!$Y212-1,"")</f>
        <v/>
      </c>
      <c r="O210" s="55" t="str">
        <f>IFERROR(Inv_SY!O212/Inv_SY!$Y212-1,"")</f>
        <v/>
      </c>
      <c r="P210" s="55" t="str">
        <f>IFERROR(Inv_SY!P212/Inv_SY!$Y212-1,"")</f>
        <v/>
      </c>
      <c r="Q210" s="55" t="str">
        <f>IFERROR(Inv_SY!Q212/Inv_SY!$Y212-1,"")</f>
        <v/>
      </c>
      <c r="R210" s="55" t="str">
        <f>IFERROR(Inv_SY!R212/Inv_SY!$Y212-1,"")</f>
        <v/>
      </c>
      <c r="S210" s="55" t="str">
        <f>IFERROR(Inv_SY!S212/Inv_SY!$Y212-1,"")</f>
        <v/>
      </c>
      <c r="T210" s="55" t="str">
        <f>IFERROR(Inv_SY!T212/Inv_SY!$Y212-1,"")</f>
        <v/>
      </c>
      <c r="U210" s="55" t="str">
        <f>IFERROR(Inv_SY!U212/Inv_SY!$Y212-1,"")</f>
        <v/>
      </c>
      <c r="V210" s="55" t="str">
        <f>IFERROR(Inv_SY!J212/Inv_SY!$Z212-1,"")</f>
        <v/>
      </c>
      <c r="W210" s="55" t="str">
        <f>IFERROR(Inv_SY!K212/Inv_SY!$Z212-1,"")</f>
        <v/>
      </c>
      <c r="X210" s="55" t="str">
        <f>IFERROR(Inv_SY!L212/Inv_SY!$Z212-1,"")</f>
        <v/>
      </c>
      <c r="Y210" s="55" t="str">
        <f>IFERROR(Inv_SY!M212/Inv_SY!$Z212-1,"")</f>
        <v/>
      </c>
      <c r="Z210" s="55" t="str">
        <f>IFERROR(Inv_SY!N212/Inv_SY!$Z212-1,"")</f>
        <v/>
      </c>
      <c r="AA210" s="55" t="str">
        <f>IFERROR(Inv_SY!O212/Inv_SY!$Z212-1,"")</f>
        <v/>
      </c>
      <c r="AB210" s="55" t="str">
        <f>IFERROR(Inv_SY!P212/Inv_SY!$Z212-1,"")</f>
        <v/>
      </c>
      <c r="AC210" s="55" t="str">
        <f>IFERROR(Inv_SY!Q212/Inv_SY!$Z212-1,"")</f>
        <v/>
      </c>
      <c r="AD210" s="55" t="str">
        <f>IFERROR(Inv_SY!R212/Inv_SY!$Z212-1,"")</f>
        <v/>
      </c>
      <c r="AE210" s="55" t="str">
        <f>IFERROR(Inv_SY!S212/Inv_SY!$Z212-1,"")</f>
        <v/>
      </c>
      <c r="AF210" s="55" t="str">
        <f>IFERROR(Inv_SY!T212/Inv_SY!$Z212-1,"")</f>
        <v/>
      </c>
      <c r="AG210" s="55" t="str">
        <f>IFERROR(Inv_SY!U212/Inv_SY!$Z212-1,"")</f>
        <v/>
      </c>
      <c r="AH210" s="55" t="str">
        <f>IFERROR(Inv_SY!V212/Inv_SY!$Y212-1,"")</f>
        <v/>
      </c>
      <c r="AI210" s="55" t="str">
        <f>IFERROR(Inv_SY!W212/Inv_SY!$Y212-1,"")</f>
        <v/>
      </c>
      <c r="AJ210" s="55" t="str">
        <f>IFERROR(Inv_SY!X212/Inv_SY!$Y212-1,"")</f>
        <v/>
      </c>
      <c r="AK210" s="55" t="str">
        <f>IFERROR(Inv_SY!V212/Inv_SY!$Z212-1,"")</f>
        <v/>
      </c>
      <c r="AL210" s="55" t="str">
        <f>IFERROR(Inv_SY!W212/Inv_SY!$Z212-1,"")</f>
        <v/>
      </c>
      <c r="AM210" s="55" t="str">
        <f>IFERROR(Inv_SY!X212/Inv_SY!$Z212-1,"")</f>
        <v/>
      </c>
    </row>
    <row r="211" spans="1:39" x14ac:dyDescent="0.3">
      <c r="A211" s="273">
        <f>YEAR(Table5[[#This Row],[Date]])+IF(MONTH(Table5[[#This Row],[Date]])&gt;=4,1,0)</f>
        <v>2026</v>
      </c>
      <c r="B211" s="273"/>
      <c r="C211" s="273">
        <f>YEAR(Table5[[#This Row],[Date]])</f>
        <v>2025</v>
      </c>
      <c r="D211" s="273"/>
      <c r="E211" s="273"/>
      <c r="F211" s="274" t="str">
        <f>TEXT(Table5[[#This Row],[Date]],"mmm-yy")</f>
        <v>Oct-25</v>
      </c>
      <c r="G211" s="273">
        <f t="shared" si="9"/>
        <v>31</v>
      </c>
      <c r="H211" s="275">
        <f t="shared" si="10"/>
        <v>45954</v>
      </c>
      <c r="I211" s="273">
        <v>8.02</v>
      </c>
      <c r="J211" s="55" t="str">
        <f>IFERROR(Inv_SY!J213/Inv_SY!$Y213-1,"")</f>
        <v/>
      </c>
      <c r="K211" s="55" t="str">
        <f>IFERROR(Inv_SY!K213/Inv_SY!$Y213-1,"")</f>
        <v/>
      </c>
      <c r="L211" s="55" t="str">
        <f>IFERROR(Inv_SY!L213/Inv_SY!$Y213-1,"")</f>
        <v/>
      </c>
      <c r="M211" s="55" t="str">
        <f>IFERROR(Inv_SY!M213/Inv_SY!$Y213-1,"")</f>
        <v/>
      </c>
      <c r="N211" s="55" t="str">
        <f>IFERROR(Inv_SY!N213/Inv_SY!$Y213-1,"")</f>
        <v/>
      </c>
      <c r="O211" s="55" t="str">
        <f>IFERROR(Inv_SY!O213/Inv_SY!$Y213-1,"")</f>
        <v/>
      </c>
      <c r="P211" s="55" t="str">
        <f>IFERROR(Inv_SY!P213/Inv_SY!$Y213-1,"")</f>
        <v/>
      </c>
      <c r="Q211" s="55" t="str">
        <f>IFERROR(Inv_SY!Q213/Inv_SY!$Y213-1,"")</f>
        <v/>
      </c>
      <c r="R211" s="55" t="str">
        <f>IFERROR(Inv_SY!R213/Inv_SY!$Y213-1,"")</f>
        <v/>
      </c>
      <c r="S211" s="55" t="str">
        <f>IFERROR(Inv_SY!S213/Inv_SY!$Y213-1,"")</f>
        <v/>
      </c>
      <c r="T211" s="55" t="str">
        <f>IFERROR(Inv_SY!T213/Inv_SY!$Y213-1,"")</f>
        <v/>
      </c>
      <c r="U211" s="55" t="str">
        <f>IFERROR(Inv_SY!U213/Inv_SY!$Y213-1,"")</f>
        <v/>
      </c>
      <c r="V211" s="55" t="str">
        <f>IFERROR(Inv_SY!J213/Inv_SY!$Z213-1,"")</f>
        <v/>
      </c>
      <c r="W211" s="55" t="str">
        <f>IFERROR(Inv_SY!K213/Inv_SY!$Z213-1,"")</f>
        <v/>
      </c>
      <c r="X211" s="55" t="str">
        <f>IFERROR(Inv_SY!L213/Inv_SY!$Z213-1,"")</f>
        <v/>
      </c>
      <c r="Y211" s="55" t="str">
        <f>IFERROR(Inv_SY!M213/Inv_SY!$Z213-1,"")</f>
        <v/>
      </c>
      <c r="Z211" s="55" t="str">
        <f>IFERROR(Inv_SY!N213/Inv_SY!$Z213-1,"")</f>
        <v/>
      </c>
      <c r="AA211" s="55" t="str">
        <f>IFERROR(Inv_SY!O213/Inv_SY!$Z213-1,"")</f>
        <v/>
      </c>
      <c r="AB211" s="55" t="str">
        <f>IFERROR(Inv_SY!P213/Inv_SY!$Z213-1,"")</f>
        <v/>
      </c>
      <c r="AC211" s="55" t="str">
        <f>IFERROR(Inv_SY!Q213/Inv_SY!$Z213-1,"")</f>
        <v/>
      </c>
      <c r="AD211" s="55" t="str">
        <f>IFERROR(Inv_SY!R213/Inv_SY!$Z213-1,"")</f>
        <v/>
      </c>
      <c r="AE211" s="55" t="str">
        <f>IFERROR(Inv_SY!S213/Inv_SY!$Z213-1,"")</f>
        <v/>
      </c>
      <c r="AF211" s="55" t="str">
        <f>IFERROR(Inv_SY!T213/Inv_SY!$Z213-1,"")</f>
        <v/>
      </c>
      <c r="AG211" s="55" t="str">
        <f>IFERROR(Inv_SY!U213/Inv_SY!$Z213-1,"")</f>
        <v/>
      </c>
      <c r="AH211" s="55" t="str">
        <f>IFERROR(Inv_SY!V213/Inv_SY!$Y213-1,"")</f>
        <v/>
      </c>
      <c r="AI211" s="55" t="str">
        <f>IFERROR(Inv_SY!W213/Inv_SY!$Y213-1,"")</f>
        <v/>
      </c>
      <c r="AJ211" s="55" t="str">
        <f>IFERROR(Inv_SY!X213/Inv_SY!$Y213-1,"")</f>
        <v/>
      </c>
      <c r="AK211" s="55" t="str">
        <f>IFERROR(Inv_SY!V213/Inv_SY!$Z213-1,"")</f>
        <v/>
      </c>
      <c r="AL211" s="55" t="str">
        <f>IFERROR(Inv_SY!W213/Inv_SY!$Z213-1,"")</f>
        <v/>
      </c>
      <c r="AM211" s="55" t="str">
        <f>IFERROR(Inv_SY!X213/Inv_SY!$Z213-1,"")</f>
        <v/>
      </c>
    </row>
    <row r="212" spans="1:39" x14ac:dyDescent="0.3">
      <c r="A212" s="273">
        <f>YEAR(Table5[[#This Row],[Date]])+IF(MONTH(Table5[[#This Row],[Date]])&gt;=4,1,0)</f>
        <v>2026</v>
      </c>
      <c r="B212" s="273"/>
      <c r="C212" s="273">
        <f>YEAR(Table5[[#This Row],[Date]])</f>
        <v>2025</v>
      </c>
      <c r="D212" s="273"/>
      <c r="E212" s="273"/>
      <c r="F212" s="274" t="str">
        <f>TEXT(Table5[[#This Row],[Date]],"mmm-yy")</f>
        <v>Oct-25</v>
      </c>
      <c r="G212" s="273">
        <f t="shared" si="9"/>
        <v>31</v>
      </c>
      <c r="H212" s="275">
        <f t="shared" si="10"/>
        <v>45955</v>
      </c>
      <c r="I212" s="273">
        <v>8.02</v>
      </c>
      <c r="J212" s="55" t="str">
        <f>IFERROR(Inv_SY!J214/Inv_SY!$Y214-1,"")</f>
        <v/>
      </c>
      <c r="K212" s="55" t="str">
        <f>IFERROR(Inv_SY!K214/Inv_SY!$Y214-1,"")</f>
        <v/>
      </c>
      <c r="L212" s="55" t="str">
        <f>IFERROR(Inv_SY!L214/Inv_SY!$Y214-1,"")</f>
        <v/>
      </c>
      <c r="M212" s="55" t="str">
        <f>IFERROR(Inv_SY!M214/Inv_SY!$Y214-1,"")</f>
        <v/>
      </c>
      <c r="N212" s="55" t="str">
        <f>IFERROR(Inv_SY!N214/Inv_SY!$Y214-1,"")</f>
        <v/>
      </c>
      <c r="O212" s="55" t="str">
        <f>IFERROR(Inv_SY!O214/Inv_SY!$Y214-1,"")</f>
        <v/>
      </c>
      <c r="P212" s="55" t="str">
        <f>IFERROR(Inv_SY!P214/Inv_SY!$Y214-1,"")</f>
        <v/>
      </c>
      <c r="Q212" s="55" t="str">
        <f>IFERROR(Inv_SY!Q214/Inv_SY!$Y214-1,"")</f>
        <v/>
      </c>
      <c r="R212" s="55" t="str">
        <f>IFERROR(Inv_SY!R214/Inv_SY!$Y214-1,"")</f>
        <v/>
      </c>
      <c r="S212" s="55" t="str">
        <f>IFERROR(Inv_SY!S214/Inv_SY!$Y214-1,"")</f>
        <v/>
      </c>
      <c r="T212" s="55" t="str">
        <f>IFERROR(Inv_SY!T214/Inv_SY!$Y214-1,"")</f>
        <v/>
      </c>
      <c r="U212" s="55" t="str">
        <f>IFERROR(Inv_SY!U214/Inv_SY!$Y214-1,"")</f>
        <v/>
      </c>
      <c r="V212" s="55" t="str">
        <f>IFERROR(Inv_SY!J214/Inv_SY!$Z214-1,"")</f>
        <v/>
      </c>
      <c r="W212" s="55" t="str">
        <f>IFERROR(Inv_SY!K214/Inv_SY!$Z214-1,"")</f>
        <v/>
      </c>
      <c r="X212" s="55" t="str">
        <f>IFERROR(Inv_SY!L214/Inv_SY!$Z214-1,"")</f>
        <v/>
      </c>
      <c r="Y212" s="55" t="str">
        <f>IFERROR(Inv_SY!M214/Inv_SY!$Z214-1,"")</f>
        <v/>
      </c>
      <c r="Z212" s="55" t="str">
        <f>IFERROR(Inv_SY!N214/Inv_SY!$Z214-1,"")</f>
        <v/>
      </c>
      <c r="AA212" s="55" t="str">
        <f>IFERROR(Inv_SY!O214/Inv_SY!$Z214-1,"")</f>
        <v/>
      </c>
      <c r="AB212" s="55" t="str">
        <f>IFERROR(Inv_SY!P214/Inv_SY!$Z214-1,"")</f>
        <v/>
      </c>
      <c r="AC212" s="55" t="str">
        <f>IFERROR(Inv_SY!Q214/Inv_SY!$Z214-1,"")</f>
        <v/>
      </c>
      <c r="AD212" s="55" t="str">
        <f>IFERROR(Inv_SY!R214/Inv_SY!$Z214-1,"")</f>
        <v/>
      </c>
      <c r="AE212" s="55" t="str">
        <f>IFERROR(Inv_SY!S214/Inv_SY!$Z214-1,"")</f>
        <v/>
      </c>
      <c r="AF212" s="55" t="str">
        <f>IFERROR(Inv_SY!T214/Inv_SY!$Z214-1,"")</f>
        <v/>
      </c>
      <c r="AG212" s="55" t="str">
        <f>IFERROR(Inv_SY!U214/Inv_SY!$Z214-1,"")</f>
        <v/>
      </c>
      <c r="AH212" s="55" t="str">
        <f>IFERROR(Inv_SY!V214/Inv_SY!$Y214-1,"")</f>
        <v/>
      </c>
      <c r="AI212" s="55" t="str">
        <f>IFERROR(Inv_SY!W214/Inv_SY!$Y214-1,"")</f>
        <v/>
      </c>
      <c r="AJ212" s="55" t="str">
        <f>IFERROR(Inv_SY!X214/Inv_SY!$Y214-1,"")</f>
        <v/>
      </c>
      <c r="AK212" s="55" t="str">
        <f>IFERROR(Inv_SY!V214/Inv_SY!$Z214-1,"")</f>
        <v/>
      </c>
      <c r="AL212" s="55" t="str">
        <f>IFERROR(Inv_SY!W214/Inv_SY!$Z214-1,"")</f>
        <v/>
      </c>
      <c r="AM212" s="55" t="str">
        <f>IFERROR(Inv_SY!X214/Inv_SY!$Z214-1,"")</f>
        <v/>
      </c>
    </row>
    <row r="213" spans="1:39" x14ac:dyDescent="0.3">
      <c r="A213" s="273">
        <f>YEAR(Table5[[#This Row],[Date]])+IF(MONTH(Table5[[#This Row],[Date]])&gt;=4,1,0)</f>
        <v>2026</v>
      </c>
      <c r="B213" s="273"/>
      <c r="C213" s="273">
        <f>YEAR(Table5[[#This Row],[Date]])</f>
        <v>2025</v>
      </c>
      <c r="D213" s="273"/>
      <c r="E213" s="273"/>
      <c r="F213" s="274" t="str">
        <f>TEXT(Table5[[#This Row],[Date]],"mmm-yy")</f>
        <v>Oct-25</v>
      </c>
      <c r="G213" s="273">
        <f t="shared" si="9"/>
        <v>31</v>
      </c>
      <c r="H213" s="275">
        <f t="shared" si="10"/>
        <v>45956</v>
      </c>
      <c r="I213" s="273">
        <v>8.02</v>
      </c>
      <c r="J213" s="55" t="str">
        <f>IFERROR(Inv_SY!J215/Inv_SY!$Y215-1,"")</f>
        <v/>
      </c>
      <c r="K213" s="55" t="str">
        <f>IFERROR(Inv_SY!K215/Inv_SY!$Y215-1,"")</f>
        <v/>
      </c>
      <c r="L213" s="55" t="str">
        <f>IFERROR(Inv_SY!L215/Inv_SY!$Y215-1,"")</f>
        <v/>
      </c>
      <c r="M213" s="55" t="str">
        <f>IFERROR(Inv_SY!M215/Inv_SY!$Y215-1,"")</f>
        <v/>
      </c>
      <c r="N213" s="55" t="str">
        <f>IFERROR(Inv_SY!N215/Inv_SY!$Y215-1,"")</f>
        <v/>
      </c>
      <c r="O213" s="55" t="str">
        <f>IFERROR(Inv_SY!O215/Inv_SY!$Y215-1,"")</f>
        <v/>
      </c>
      <c r="P213" s="55" t="str">
        <f>IFERROR(Inv_SY!P215/Inv_SY!$Y215-1,"")</f>
        <v/>
      </c>
      <c r="Q213" s="55" t="str">
        <f>IFERROR(Inv_SY!Q215/Inv_SY!$Y215-1,"")</f>
        <v/>
      </c>
      <c r="R213" s="55" t="str">
        <f>IFERROR(Inv_SY!R215/Inv_SY!$Y215-1,"")</f>
        <v/>
      </c>
      <c r="S213" s="55" t="str">
        <f>IFERROR(Inv_SY!S215/Inv_SY!$Y215-1,"")</f>
        <v/>
      </c>
      <c r="T213" s="55" t="str">
        <f>IFERROR(Inv_SY!T215/Inv_SY!$Y215-1,"")</f>
        <v/>
      </c>
      <c r="U213" s="55" t="str">
        <f>IFERROR(Inv_SY!U215/Inv_SY!$Y215-1,"")</f>
        <v/>
      </c>
      <c r="V213" s="55" t="str">
        <f>IFERROR(Inv_SY!J215/Inv_SY!$Z215-1,"")</f>
        <v/>
      </c>
      <c r="W213" s="55" t="str">
        <f>IFERROR(Inv_SY!K215/Inv_SY!$Z215-1,"")</f>
        <v/>
      </c>
      <c r="X213" s="55" t="str">
        <f>IFERROR(Inv_SY!L215/Inv_SY!$Z215-1,"")</f>
        <v/>
      </c>
      <c r="Y213" s="55" t="str">
        <f>IFERROR(Inv_SY!M215/Inv_SY!$Z215-1,"")</f>
        <v/>
      </c>
      <c r="Z213" s="55" t="str">
        <f>IFERROR(Inv_SY!N215/Inv_SY!$Z215-1,"")</f>
        <v/>
      </c>
      <c r="AA213" s="55" t="str">
        <f>IFERROR(Inv_SY!O215/Inv_SY!$Z215-1,"")</f>
        <v/>
      </c>
      <c r="AB213" s="55" t="str">
        <f>IFERROR(Inv_SY!P215/Inv_SY!$Z215-1,"")</f>
        <v/>
      </c>
      <c r="AC213" s="55" t="str">
        <f>IFERROR(Inv_SY!Q215/Inv_SY!$Z215-1,"")</f>
        <v/>
      </c>
      <c r="AD213" s="55" t="str">
        <f>IFERROR(Inv_SY!R215/Inv_SY!$Z215-1,"")</f>
        <v/>
      </c>
      <c r="AE213" s="55" t="str">
        <f>IFERROR(Inv_SY!S215/Inv_SY!$Z215-1,"")</f>
        <v/>
      </c>
      <c r="AF213" s="55" t="str">
        <f>IFERROR(Inv_SY!T215/Inv_SY!$Z215-1,"")</f>
        <v/>
      </c>
      <c r="AG213" s="55" t="str">
        <f>IFERROR(Inv_SY!U215/Inv_SY!$Z215-1,"")</f>
        <v/>
      </c>
      <c r="AH213" s="55" t="str">
        <f>IFERROR(Inv_SY!V215/Inv_SY!$Y215-1,"")</f>
        <v/>
      </c>
      <c r="AI213" s="55" t="str">
        <f>IFERROR(Inv_SY!W215/Inv_SY!$Y215-1,"")</f>
        <v/>
      </c>
      <c r="AJ213" s="55" t="str">
        <f>IFERROR(Inv_SY!X215/Inv_SY!$Y215-1,"")</f>
        <v/>
      </c>
      <c r="AK213" s="55" t="str">
        <f>IFERROR(Inv_SY!V215/Inv_SY!$Z215-1,"")</f>
        <v/>
      </c>
      <c r="AL213" s="55" t="str">
        <f>IFERROR(Inv_SY!W215/Inv_SY!$Z215-1,"")</f>
        <v/>
      </c>
      <c r="AM213" s="55" t="str">
        <f>IFERROR(Inv_SY!X215/Inv_SY!$Z215-1,"")</f>
        <v/>
      </c>
    </row>
    <row r="214" spans="1:39" x14ac:dyDescent="0.3">
      <c r="A214" s="273">
        <f>YEAR(Table5[[#This Row],[Date]])+IF(MONTH(Table5[[#This Row],[Date]])&gt;=4,1,0)</f>
        <v>2026</v>
      </c>
      <c r="B214" s="273"/>
      <c r="C214" s="273">
        <f>YEAR(Table5[[#This Row],[Date]])</f>
        <v>2025</v>
      </c>
      <c r="D214" s="273"/>
      <c r="E214" s="273"/>
      <c r="F214" s="274" t="str">
        <f>TEXT(Table5[[#This Row],[Date]],"mmm-yy")</f>
        <v>Oct-25</v>
      </c>
      <c r="G214" s="273">
        <f t="shared" si="9"/>
        <v>31</v>
      </c>
      <c r="H214" s="275">
        <f t="shared" si="10"/>
        <v>45957</v>
      </c>
      <c r="I214" s="273">
        <v>8.02</v>
      </c>
      <c r="J214" s="55" t="str">
        <f>IFERROR(Inv_SY!J216/Inv_SY!$Y216-1,"")</f>
        <v/>
      </c>
      <c r="K214" s="55" t="str">
        <f>IFERROR(Inv_SY!K216/Inv_SY!$Y216-1,"")</f>
        <v/>
      </c>
      <c r="L214" s="55" t="str">
        <f>IFERROR(Inv_SY!L216/Inv_SY!$Y216-1,"")</f>
        <v/>
      </c>
      <c r="M214" s="55" t="str">
        <f>IFERROR(Inv_SY!M216/Inv_SY!$Y216-1,"")</f>
        <v/>
      </c>
      <c r="N214" s="55" t="str">
        <f>IFERROR(Inv_SY!N216/Inv_SY!$Y216-1,"")</f>
        <v/>
      </c>
      <c r="O214" s="55" t="str">
        <f>IFERROR(Inv_SY!O216/Inv_SY!$Y216-1,"")</f>
        <v/>
      </c>
      <c r="P214" s="55" t="str">
        <f>IFERROR(Inv_SY!P216/Inv_SY!$Y216-1,"")</f>
        <v/>
      </c>
      <c r="Q214" s="55" t="str">
        <f>IFERROR(Inv_SY!Q216/Inv_SY!$Y216-1,"")</f>
        <v/>
      </c>
      <c r="R214" s="55" t="str">
        <f>IFERROR(Inv_SY!R216/Inv_SY!$Y216-1,"")</f>
        <v/>
      </c>
      <c r="S214" s="55" t="str">
        <f>IFERROR(Inv_SY!S216/Inv_SY!$Y216-1,"")</f>
        <v/>
      </c>
      <c r="T214" s="55" t="str">
        <f>IFERROR(Inv_SY!T216/Inv_SY!$Y216-1,"")</f>
        <v/>
      </c>
      <c r="U214" s="55" t="str">
        <f>IFERROR(Inv_SY!U216/Inv_SY!$Y216-1,"")</f>
        <v/>
      </c>
      <c r="V214" s="55" t="str">
        <f>IFERROR(Inv_SY!J216/Inv_SY!$Z216-1,"")</f>
        <v/>
      </c>
      <c r="W214" s="55" t="str">
        <f>IFERROR(Inv_SY!K216/Inv_SY!$Z216-1,"")</f>
        <v/>
      </c>
      <c r="X214" s="55" t="str">
        <f>IFERROR(Inv_SY!L216/Inv_SY!$Z216-1,"")</f>
        <v/>
      </c>
      <c r="Y214" s="55" t="str">
        <f>IFERROR(Inv_SY!M216/Inv_SY!$Z216-1,"")</f>
        <v/>
      </c>
      <c r="Z214" s="55" t="str">
        <f>IFERROR(Inv_SY!N216/Inv_SY!$Z216-1,"")</f>
        <v/>
      </c>
      <c r="AA214" s="55" t="str">
        <f>IFERROR(Inv_SY!O216/Inv_SY!$Z216-1,"")</f>
        <v/>
      </c>
      <c r="AB214" s="55" t="str">
        <f>IFERROR(Inv_SY!P216/Inv_SY!$Z216-1,"")</f>
        <v/>
      </c>
      <c r="AC214" s="55" t="str">
        <f>IFERROR(Inv_SY!Q216/Inv_SY!$Z216-1,"")</f>
        <v/>
      </c>
      <c r="AD214" s="55" t="str">
        <f>IFERROR(Inv_SY!R216/Inv_SY!$Z216-1,"")</f>
        <v/>
      </c>
      <c r="AE214" s="55" t="str">
        <f>IFERROR(Inv_SY!S216/Inv_SY!$Z216-1,"")</f>
        <v/>
      </c>
      <c r="AF214" s="55" t="str">
        <f>IFERROR(Inv_SY!T216/Inv_SY!$Z216-1,"")</f>
        <v/>
      </c>
      <c r="AG214" s="55" t="str">
        <f>IFERROR(Inv_SY!U216/Inv_SY!$Z216-1,"")</f>
        <v/>
      </c>
      <c r="AH214" s="55" t="str">
        <f>IFERROR(Inv_SY!V216/Inv_SY!$Y216-1,"")</f>
        <v/>
      </c>
      <c r="AI214" s="55" t="str">
        <f>IFERROR(Inv_SY!W216/Inv_SY!$Y216-1,"")</f>
        <v/>
      </c>
      <c r="AJ214" s="55" t="str">
        <f>IFERROR(Inv_SY!X216/Inv_SY!$Y216-1,"")</f>
        <v/>
      </c>
      <c r="AK214" s="55" t="str">
        <f>IFERROR(Inv_SY!V216/Inv_SY!$Z216-1,"")</f>
        <v/>
      </c>
      <c r="AL214" s="55" t="str">
        <f>IFERROR(Inv_SY!W216/Inv_SY!$Z216-1,"")</f>
        <v/>
      </c>
      <c r="AM214" s="55" t="str">
        <f>IFERROR(Inv_SY!X216/Inv_SY!$Z216-1,"")</f>
        <v/>
      </c>
    </row>
    <row r="215" spans="1:39" x14ac:dyDescent="0.3">
      <c r="A215" s="273">
        <f>YEAR(Table5[[#This Row],[Date]])+IF(MONTH(Table5[[#This Row],[Date]])&gt;=4,1,0)</f>
        <v>2026</v>
      </c>
      <c r="B215" s="273"/>
      <c r="C215" s="273">
        <f>YEAR(Table5[[#This Row],[Date]])</f>
        <v>2025</v>
      </c>
      <c r="D215" s="273"/>
      <c r="E215" s="273"/>
      <c r="F215" s="274" t="str">
        <f>TEXT(Table5[[#This Row],[Date]],"mmm-yy")</f>
        <v>Oct-25</v>
      </c>
      <c r="G215" s="273">
        <f t="shared" si="9"/>
        <v>31</v>
      </c>
      <c r="H215" s="275">
        <f t="shared" si="10"/>
        <v>45958</v>
      </c>
      <c r="I215" s="273">
        <v>8.02</v>
      </c>
      <c r="J215" s="55" t="str">
        <f>IFERROR(Inv_SY!J217/Inv_SY!$Y217-1,"")</f>
        <v/>
      </c>
      <c r="K215" s="55" t="str">
        <f>IFERROR(Inv_SY!K217/Inv_SY!$Y217-1,"")</f>
        <v/>
      </c>
      <c r="L215" s="55" t="str">
        <f>IFERROR(Inv_SY!L217/Inv_SY!$Y217-1,"")</f>
        <v/>
      </c>
      <c r="M215" s="55" t="str">
        <f>IFERROR(Inv_SY!M217/Inv_SY!$Y217-1,"")</f>
        <v/>
      </c>
      <c r="N215" s="55" t="str">
        <f>IFERROR(Inv_SY!N217/Inv_SY!$Y217-1,"")</f>
        <v/>
      </c>
      <c r="O215" s="55" t="str">
        <f>IFERROR(Inv_SY!O217/Inv_SY!$Y217-1,"")</f>
        <v/>
      </c>
      <c r="P215" s="55" t="str">
        <f>IFERROR(Inv_SY!P217/Inv_SY!$Y217-1,"")</f>
        <v/>
      </c>
      <c r="Q215" s="55" t="str">
        <f>IFERROR(Inv_SY!Q217/Inv_SY!$Y217-1,"")</f>
        <v/>
      </c>
      <c r="R215" s="55" t="str">
        <f>IFERROR(Inv_SY!R217/Inv_SY!$Y217-1,"")</f>
        <v/>
      </c>
      <c r="S215" s="55" t="str">
        <f>IFERROR(Inv_SY!S217/Inv_SY!$Y217-1,"")</f>
        <v/>
      </c>
      <c r="T215" s="55" t="str">
        <f>IFERROR(Inv_SY!T217/Inv_SY!$Y217-1,"")</f>
        <v/>
      </c>
      <c r="U215" s="55" t="str">
        <f>IFERROR(Inv_SY!U217/Inv_SY!$Y217-1,"")</f>
        <v/>
      </c>
      <c r="V215" s="55" t="str">
        <f>IFERROR(Inv_SY!J217/Inv_SY!$Z217-1,"")</f>
        <v/>
      </c>
      <c r="W215" s="55" t="str">
        <f>IFERROR(Inv_SY!K217/Inv_SY!$Z217-1,"")</f>
        <v/>
      </c>
      <c r="X215" s="55" t="str">
        <f>IFERROR(Inv_SY!L217/Inv_SY!$Z217-1,"")</f>
        <v/>
      </c>
      <c r="Y215" s="55" t="str">
        <f>IFERROR(Inv_SY!M217/Inv_SY!$Z217-1,"")</f>
        <v/>
      </c>
      <c r="Z215" s="55" t="str">
        <f>IFERROR(Inv_SY!N217/Inv_SY!$Z217-1,"")</f>
        <v/>
      </c>
      <c r="AA215" s="55" t="str">
        <f>IFERROR(Inv_SY!O217/Inv_SY!$Z217-1,"")</f>
        <v/>
      </c>
      <c r="AB215" s="55" t="str">
        <f>IFERROR(Inv_SY!P217/Inv_SY!$Z217-1,"")</f>
        <v/>
      </c>
      <c r="AC215" s="55" t="str">
        <f>IFERROR(Inv_SY!Q217/Inv_SY!$Z217-1,"")</f>
        <v/>
      </c>
      <c r="AD215" s="55" t="str">
        <f>IFERROR(Inv_SY!R217/Inv_SY!$Z217-1,"")</f>
        <v/>
      </c>
      <c r="AE215" s="55" t="str">
        <f>IFERROR(Inv_SY!S217/Inv_SY!$Z217-1,"")</f>
        <v/>
      </c>
      <c r="AF215" s="55" t="str">
        <f>IFERROR(Inv_SY!T217/Inv_SY!$Z217-1,"")</f>
        <v/>
      </c>
      <c r="AG215" s="55" t="str">
        <f>IFERROR(Inv_SY!U217/Inv_SY!$Z217-1,"")</f>
        <v/>
      </c>
      <c r="AH215" s="55" t="str">
        <f>IFERROR(Inv_SY!V217/Inv_SY!$Y217-1,"")</f>
        <v/>
      </c>
      <c r="AI215" s="55" t="str">
        <f>IFERROR(Inv_SY!W217/Inv_SY!$Y217-1,"")</f>
        <v/>
      </c>
      <c r="AJ215" s="55" t="str">
        <f>IFERROR(Inv_SY!X217/Inv_SY!$Y217-1,"")</f>
        <v/>
      </c>
      <c r="AK215" s="55" t="str">
        <f>IFERROR(Inv_SY!V217/Inv_SY!$Z217-1,"")</f>
        <v/>
      </c>
      <c r="AL215" s="55" t="str">
        <f>IFERROR(Inv_SY!W217/Inv_SY!$Z217-1,"")</f>
        <v/>
      </c>
      <c r="AM215" s="55" t="str">
        <f>IFERROR(Inv_SY!X217/Inv_SY!$Z217-1,"")</f>
        <v/>
      </c>
    </row>
    <row r="216" spans="1:39" x14ac:dyDescent="0.3">
      <c r="A216" s="273">
        <f>YEAR(Table5[[#This Row],[Date]])+IF(MONTH(Table5[[#This Row],[Date]])&gt;=4,1,0)</f>
        <v>2026</v>
      </c>
      <c r="B216" s="273"/>
      <c r="C216" s="273">
        <f>YEAR(Table5[[#This Row],[Date]])</f>
        <v>2025</v>
      </c>
      <c r="D216" s="273"/>
      <c r="E216" s="273"/>
      <c r="F216" s="274" t="str">
        <f>TEXT(Table5[[#This Row],[Date]],"mmm-yy")</f>
        <v>Oct-25</v>
      </c>
      <c r="G216" s="273">
        <f t="shared" si="9"/>
        <v>31</v>
      </c>
      <c r="H216" s="275">
        <f t="shared" si="10"/>
        <v>45959</v>
      </c>
      <c r="I216" s="273">
        <v>8.02</v>
      </c>
      <c r="J216" s="55" t="str">
        <f>IFERROR(Inv_SY!J218/Inv_SY!$Y218-1,"")</f>
        <v/>
      </c>
      <c r="K216" s="55" t="str">
        <f>IFERROR(Inv_SY!K218/Inv_SY!$Y218-1,"")</f>
        <v/>
      </c>
      <c r="L216" s="55" t="str">
        <f>IFERROR(Inv_SY!L218/Inv_SY!$Y218-1,"")</f>
        <v/>
      </c>
      <c r="M216" s="55" t="str">
        <f>IFERROR(Inv_SY!M218/Inv_SY!$Y218-1,"")</f>
        <v/>
      </c>
      <c r="N216" s="55" t="str">
        <f>IFERROR(Inv_SY!N218/Inv_SY!$Y218-1,"")</f>
        <v/>
      </c>
      <c r="O216" s="55" t="str">
        <f>IFERROR(Inv_SY!O218/Inv_SY!$Y218-1,"")</f>
        <v/>
      </c>
      <c r="P216" s="55" t="str">
        <f>IFERROR(Inv_SY!P218/Inv_SY!$Y218-1,"")</f>
        <v/>
      </c>
      <c r="Q216" s="55" t="str">
        <f>IFERROR(Inv_SY!Q218/Inv_SY!$Y218-1,"")</f>
        <v/>
      </c>
      <c r="R216" s="55" t="str">
        <f>IFERROR(Inv_SY!R218/Inv_SY!$Y218-1,"")</f>
        <v/>
      </c>
      <c r="S216" s="55" t="str">
        <f>IFERROR(Inv_SY!S218/Inv_SY!$Y218-1,"")</f>
        <v/>
      </c>
      <c r="T216" s="55" t="str">
        <f>IFERROR(Inv_SY!T218/Inv_SY!$Y218-1,"")</f>
        <v/>
      </c>
      <c r="U216" s="55" t="str">
        <f>IFERROR(Inv_SY!U218/Inv_SY!$Y218-1,"")</f>
        <v/>
      </c>
      <c r="V216" s="55" t="str">
        <f>IFERROR(Inv_SY!J218/Inv_SY!$Z218-1,"")</f>
        <v/>
      </c>
      <c r="W216" s="55" t="str">
        <f>IFERROR(Inv_SY!K218/Inv_SY!$Z218-1,"")</f>
        <v/>
      </c>
      <c r="X216" s="55" t="str">
        <f>IFERROR(Inv_SY!L218/Inv_SY!$Z218-1,"")</f>
        <v/>
      </c>
      <c r="Y216" s="55" t="str">
        <f>IFERROR(Inv_SY!M218/Inv_SY!$Z218-1,"")</f>
        <v/>
      </c>
      <c r="Z216" s="55" t="str">
        <f>IFERROR(Inv_SY!N218/Inv_SY!$Z218-1,"")</f>
        <v/>
      </c>
      <c r="AA216" s="55" t="str">
        <f>IFERROR(Inv_SY!O218/Inv_SY!$Z218-1,"")</f>
        <v/>
      </c>
      <c r="AB216" s="55" t="str">
        <f>IFERROR(Inv_SY!P218/Inv_SY!$Z218-1,"")</f>
        <v/>
      </c>
      <c r="AC216" s="55" t="str">
        <f>IFERROR(Inv_SY!Q218/Inv_SY!$Z218-1,"")</f>
        <v/>
      </c>
      <c r="AD216" s="55" t="str">
        <f>IFERROR(Inv_SY!R218/Inv_SY!$Z218-1,"")</f>
        <v/>
      </c>
      <c r="AE216" s="55" t="str">
        <f>IFERROR(Inv_SY!S218/Inv_SY!$Z218-1,"")</f>
        <v/>
      </c>
      <c r="AF216" s="55" t="str">
        <f>IFERROR(Inv_SY!T218/Inv_SY!$Z218-1,"")</f>
        <v/>
      </c>
      <c r="AG216" s="55" t="str">
        <f>IFERROR(Inv_SY!U218/Inv_SY!$Z218-1,"")</f>
        <v/>
      </c>
      <c r="AH216" s="55" t="str">
        <f>IFERROR(Inv_SY!V218/Inv_SY!$Y218-1,"")</f>
        <v/>
      </c>
      <c r="AI216" s="55" t="str">
        <f>IFERROR(Inv_SY!W218/Inv_SY!$Y218-1,"")</f>
        <v/>
      </c>
      <c r="AJ216" s="55" t="str">
        <f>IFERROR(Inv_SY!X218/Inv_SY!$Y218-1,"")</f>
        <v/>
      </c>
      <c r="AK216" s="55" t="str">
        <f>IFERROR(Inv_SY!V218/Inv_SY!$Z218-1,"")</f>
        <v/>
      </c>
      <c r="AL216" s="55" t="str">
        <f>IFERROR(Inv_SY!W218/Inv_SY!$Z218-1,"")</f>
        <v/>
      </c>
      <c r="AM216" s="55" t="str">
        <f>IFERROR(Inv_SY!X218/Inv_SY!$Z218-1,"")</f>
        <v/>
      </c>
    </row>
    <row r="217" spans="1:39" x14ac:dyDescent="0.3">
      <c r="A217" s="273">
        <f>YEAR(Table5[[#This Row],[Date]])+IF(MONTH(Table5[[#This Row],[Date]])&gt;=4,1,0)</f>
        <v>2026</v>
      </c>
      <c r="B217" s="273"/>
      <c r="C217" s="273">
        <f>YEAR(Table5[[#This Row],[Date]])</f>
        <v>2025</v>
      </c>
      <c r="D217" s="273"/>
      <c r="E217" s="273"/>
      <c r="F217" s="274" t="str">
        <f>TEXT(Table5[[#This Row],[Date]],"mmm-yy")</f>
        <v>Oct-25</v>
      </c>
      <c r="G217" s="273">
        <f t="shared" si="9"/>
        <v>31</v>
      </c>
      <c r="H217" s="275">
        <f t="shared" si="10"/>
        <v>45960</v>
      </c>
      <c r="I217" s="273">
        <v>8.02</v>
      </c>
      <c r="J217" s="55" t="str">
        <f>IFERROR(Inv_SY!J219/Inv_SY!$Y219-1,"")</f>
        <v/>
      </c>
      <c r="K217" s="55" t="str">
        <f>IFERROR(Inv_SY!K219/Inv_SY!$Y219-1,"")</f>
        <v/>
      </c>
      <c r="L217" s="55" t="str">
        <f>IFERROR(Inv_SY!L219/Inv_SY!$Y219-1,"")</f>
        <v/>
      </c>
      <c r="M217" s="55" t="str">
        <f>IFERROR(Inv_SY!M219/Inv_SY!$Y219-1,"")</f>
        <v/>
      </c>
      <c r="N217" s="55" t="str">
        <f>IFERROR(Inv_SY!N219/Inv_SY!$Y219-1,"")</f>
        <v/>
      </c>
      <c r="O217" s="55" t="str">
        <f>IFERROR(Inv_SY!O219/Inv_SY!$Y219-1,"")</f>
        <v/>
      </c>
      <c r="P217" s="55" t="str">
        <f>IFERROR(Inv_SY!P219/Inv_SY!$Y219-1,"")</f>
        <v/>
      </c>
      <c r="Q217" s="55" t="str">
        <f>IFERROR(Inv_SY!Q219/Inv_SY!$Y219-1,"")</f>
        <v/>
      </c>
      <c r="R217" s="55" t="str">
        <f>IFERROR(Inv_SY!R219/Inv_SY!$Y219-1,"")</f>
        <v/>
      </c>
      <c r="S217" s="55" t="str">
        <f>IFERROR(Inv_SY!S219/Inv_SY!$Y219-1,"")</f>
        <v/>
      </c>
      <c r="T217" s="55" t="str">
        <f>IFERROR(Inv_SY!T219/Inv_SY!$Y219-1,"")</f>
        <v/>
      </c>
      <c r="U217" s="55" t="str">
        <f>IFERROR(Inv_SY!U219/Inv_SY!$Y219-1,"")</f>
        <v/>
      </c>
      <c r="V217" s="55" t="str">
        <f>IFERROR(Inv_SY!J219/Inv_SY!$Z219-1,"")</f>
        <v/>
      </c>
      <c r="W217" s="55" t="str">
        <f>IFERROR(Inv_SY!K219/Inv_SY!$Z219-1,"")</f>
        <v/>
      </c>
      <c r="X217" s="55" t="str">
        <f>IFERROR(Inv_SY!L219/Inv_SY!$Z219-1,"")</f>
        <v/>
      </c>
      <c r="Y217" s="55" t="str">
        <f>IFERROR(Inv_SY!M219/Inv_SY!$Z219-1,"")</f>
        <v/>
      </c>
      <c r="Z217" s="55" t="str">
        <f>IFERROR(Inv_SY!N219/Inv_SY!$Z219-1,"")</f>
        <v/>
      </c>
      <c r="AA217" s="55" t="str">
        <f>IFERROR(Inv_SY!O219/Inv_SY!$Z219-1,"")</f>
        <v/>
      </c>
      <c r="AB217" s="55" t="str">
        <f>IFERROR(Inv_SY!P219/Inv_SY!$Z219-1,"")</f>
        <v/>
      </c>
      <c r="AC217" s="55" t="str">
        <f>IFERROR(Inv_SY!Q219/Inv_SY!$Z219-1,"")</f>
        <v/>
      </c>
      <c r="AD217" s="55" t="str">
        <f>IFERROR(Inv_SY!R219/Inv_SY!$Z219-1,"")</f>
        <v/>
      </c>
      <c r="AE217" s="55" t="str">
        <f>IFERROR(Inv_SY!S219/Inv_SY!$Z219-1,"")</f>
        <v/>
      </c>
      <c r="AF217" s="55" t="str">
        <f>IFERROR(Inv_SY!T219/Inv_SY!$Z219-1,"")</f>
        <v/>
      </c>
      <c r="AG217" s="55" t="str">
        <f>IFERROR(Inv_SY!U219/Inv_SY!$Z219-1,"")</f>
        <v/>
      </c>
      <c r="AH217" s="55" t="str">
        <f>IFERROR(Inv_SY!V219/Inv_SY!$Y219-1,"")</f>
        <v/>
      </c>
      <c r="AI217" s="55" t="str">
        <f>IFERROR(Inv_SY!W219/Inv_SY!$Y219-1,"")</f>
        <v/>
      </c>
      <c r="AJ217" s="55" t="str">
        <f>IFERROR(Inv_SY!X219/Inv_SY!$Y219-1,"")</f>
        <v/>
      </c>
      <c r="AK217" s="55" t="str">
        <f>IFERROR(Inv_SY!V219/Inv_SY!$Z219-1,"")</f>
        <v/>
      </c>
      <c r="AL217" s="55" t="str">
        <f>IFERROR(Inv_SY!W219/Inv_SY!$Z219-1,"")</f>
        <v/>
      </c>
      <c r="AM217" s="55" t="str">
        <f>IFERROR(Inv_SY!X219/Inv_SY!$Z219-1,"")</f>
        <v/>
      </c>
    </row>
    <row r="218" spans="1:39" x14ac:dyDescent="0.3">
      <c r="A218" s="273">
        <f>YEAR(Table5[[#This Row],[Date]])+IF(MONTH(Table5[[#This Row],[Date]])&gt;=4,1,0)</f>
        <v>2026</v>
      </c>
      <c r="B218" s="273"/>
      <c r="C218" s="273">
        <f>YEAR(Table5[[#This Row],[Date]])</f>
        <v>2025</v>
      </c>
      <c r="D218" s="273"/>
      <c r="E218" s="273"/>
      <c r="F218" s="274" t="str">
        <f>TEXT(Table5[[#This Row],[Date]],"mmm-yy")</f>
        <v>Oct-25</v>
      </c>
      <c r="G218" s="273">
        <f t="shared" si="9"/>
        <v>31</v>
      </c>
      <c r="H218" s="275">
        <f t="shared" si="10"/>
        <v>45961</v>
      </c>
      <c r="I218" s="273">
        <v>8.02</v>
      </c>
      <c r="J218" s="55" t="str">
        <f>IFERROR(Inv_SY!J220/Inv_SY!$Y220-1,"")</f>
        <v/>
      </c>
      <c r="K218" s="55" t="str">
        <f>IFERROR(Inv_SY!K220/Inv_SY!$Y220-1,"")</f>
        <v/>
      </c>
      <c r="L218" s="55" t="str">
        <f>IFERROR(Inv_SY!L220/Inv_SY!$Y220-1,"")</f>
        <v/>
      </c>
      <c r="M218" s="55" t="str">
        <f>IFERROR(Inv_SY!M220/Inv_SY!$Y220-1,"")</f>
        <v/>
      </c>
      <c r="N218" s="55" t="str">
        <f>IFERROR(Inv_SY!N220/Inv_SY!$Y220-1,"")</f>
        <v/>
      </c>
      <c r="O218" s="55" t="str">
        <f>IFERROR(Inv_SY!O220/Inv_SY!$Y220-1,"")</f>
        <v/>
      </c>
      <c r="P218" s="55" t="str">
        <f>IFERROR(Inv_SY!P220/Inv_SY!$Y220-1,"")</f>
        <v/>
      </c>
      <c r="Q218" s="55" t="str">
        <f>IFERROR(Inv_SY!Q220/Inv_SY!$Y220-1,"")</f>
        <v/>
      </c>
      <c r="R218" s="55" t="str">
        <f>IFERROR(Inv_SY!R220/Inv_SY!$Y220-1,"")</f>
        <v/>
      </c>
      <c r="S218" s="55" t="str">
        <f>IFERROR(Inv_SY!S220/Inv_SY!$Y220-1,"")</f>
        <v/>
      </c>
      <c r="T218" s="55" t="str">
        <f>IFERROR(Inv_SY!T220/Inv_SY!$Y220-1,"")</f>
        <v/>
      </c>
      <c r="U218" s="55" t="str">
        <f>IFERROR(Inv_SY!U220/Inv_SY!$Y220-1,"")</f>
        <v/>
      </c>
      <c r="V218" s="55" t="str">
        <f>IFERROR(Inv_SY!J220/Inv_SY!$Z220-1,"")</f>
        <v/>
      </c>
      <c r="W218" s="55" t="str">
        <f>IFERROR(Inv_SY!K220/Inv_SY!$Z220-1,"")</f>
        <v/>
      </c>
      <c r="X218" s="55" t="str">
        <f>IFERROR(Inv_SY!L220/Inv_SY!$Z220-1,"")</f>
        <v/>
      </c>
      <c r="Y218" s="55" t="str">
        <f>IFERROR(Inv_SY!M220/Inv_SY!$Z220-1,"")</f>
        <v/>
      </c>
      <c r="Z218" s="55" t="str">
        <f>IFERROR(Inv_SY!N220/Inv_SY!$Z220-1,"")</f>
        <v/>
      </c>
      <c r="AA218" s="55" t="str">
        <f>IFERROR(Inv_SY!O220/Inv_SY!$Z220-1,"")</f>
        <v/>
      </c>
      <c r="AB218" s="55" t="str">
        <f>IFERROR(Inv_SY!P220/Inv_SY!$Z220-1,"")</f>
        <v/>
      </c>
      <c r="AC218" s="55" t="str">
        <f>IFERROR(Inv_SY!Q220/Inv_SY!$Z220-1,"")</f>
        <v/>
      </c>
      <c r="AD218" s="55" t="str">
        <f>IFERROR(Inv_SY!R220/Inv_SY!$Z220-1,"")</f>
        <v/>
      </c>
      <c r="AE218" s="55" t="str">
        <f>IFERROR(Inv_SY!S220/Inv_SY!$Z220-1,"")</f>
        <v/>
      </c>
      <c r="AF218" s="55" t="str">
        <f>IFERROR(Inv_SY!T220/Inv_SY!$Z220-1,"")</f>
        <v/>
      </c>
      <c r="AG218" s="55" t="str">
        <f>IFERROR(Inv_SY!U220/Inv_SY!$Z220-1,"")</f>
        <v/>
      </c>
      <c r="AH218" s="55" t="str">
        <f>IFERROR(Inv_SY!V220/Inv_SY!$Y220-1,"")</f>
        <v/>
      </c>
      <c r="AI218" s="55" t="str">
        <f>IFERROR(Inv_SY!W220/Inv_SY!$Y220-1,"")</f>
        <v/>
      </c>
      <c r="AJ218" s="55" t="str">
        <f>IFERROR(Inv_SY!X220/Inv_SY!$Y220-1,"")</f>
        <v/>
      </c>
      <c r="AK218" s="55" t="str">
        <f>IFERROR(Inv_SY!V220/Inv_SY!$Z220-1,"")</f>
        <v/>
      </c>
      <c r="AL218" s="55" t="str">
        <f>IFERROR(Inv_SY!W220/Inv_SY!$Z220-1,"")</f>
        <v/>
      </c>
      <c r="AM218" s="55" t="str">
        <f>IFERROR(Inv_SY!X220/Inv_SY!$Z220-1,"")</f>
        <v/>
      </c>
    </row>
    <row r="219" spans="1:39" x14ac:dyDescent="0.3">
      <c r="A219" s="273">
        <f>YEAR(Table5[[#This Row],[Date]])+IF(MONTH(Table5[[#This Row],[Date]])&gt;=4,1,0)</f>
        <v>2026</v>
      </c>
      <c r="B219" s="273"/>
      <c r="C219" s="273">
        <f>YEAR(Table5[[#This Row],[Date]])</f>
        <v>2025</v>
      </c>
      <c r="D219" s="273"/>
      <c r="E219" s="273"/>
      <c r="F219" s="274" t="str">
        <f>TEXT(Table5[[#This Row],[Date]],"mmm-yy")</f>
        <v>Nov-25</v>
      </c>
      <c r="G219" s="273">
        <f t="shared" si="9"/>
        <v>30</v>
      </c>
      <c r="H219" s="275">
        <f t="shared" si="10"/>
        <v>45962</v>
      </c>
      <c r="I219" s="273">
        <v>8.02</v>
      </c>
      <c r="J219" s="55" t="str">
        <f>IFERROR(Inv_SY!J221/Inv_SY!$Y221-1,"")</f>
        <v/>
      </c>
      <c r="K219" s="55" t="str">
        <f>IFERROR(Inv_SY!K221/Inv_SY!$Y221-1,"")</f>
        <v/>
      </c>
      <c r="L219" s="55" t="str">
        <f>IFERROR(Inv_SY!L221/Inv_SY!$Y221-1,"")</f>
        <v/>
      </c>
      <c r="M219" s="55" t="str">
        <f>IFERROR(Inv_SY!M221/Inv_SY!$Y221-1,"")</f>
        <v/>
      </c>
      <c r="N219" s="55" t="str">
        <f>IFERROR(Inv_SY!N221/Inv_SY!$Y221-1,"")</f>
        <v/>
      </c>
      <c r="O219" s="55" t="str">
        <f>IFERROR(Inv_SY!O221/Inv_SY!$Y221-1,"")</f>
        <v/>
      </c>
      <c r="P219" s="55" t="str">
        <f>IFERROR(Inv_SY!P221/Inv_SY!$Y221-1,"")</f>
        <v/>
      </c>
      <c r="Q219" s="55" t="str">
        <f>IFERROR(Inv_SY!Q221/Inv_SY!$Y221-1,"")</f>
        <v/>
      </c>
      <c r="R219" s="55" t="str">
        <f>IFERROR(Inv_SY!R221/Inv_SY!$Y221-1,"")</f>
        <v/>
      </c>
      <c r="S219" s="55" t="str">
        <f>IFERROR(Inv_SY!S221/Inv_SY!$Y221-1,"")</f>
        <v/>
      </c>
      <c r="T219" s="55" t="str">
        <f>IFERROR(Inv_SY!T221/Inv_SY!$Y221-1,"")</f>
        <v/>
      </c>
      <c r="U219" s="55" t="str">
        <f>IFERROR(Inv_SY!U221/Inv_SY!$Y221-1,"")</f>
        <v/>
      </c>
      <c r="V219" s="55" t="str">
        <f>IFERROR(Inv_SY!J221/Inv_SY!$Z221-1,"")</f>
        <v/>
      </c>
      <c r="W219" s="55" t="str">
        <f>IFERROR(Inv_SY!K221/Inv_SY!$Z221-1,"")</f>
        <v/>
      </c>
      <c r="X219" s="55" t="str">
        <f>IFERROR(Inv_SY!L221/Inv_SY!$Z221-1,"")</f>
        <v/>
      </c>
      <c r="Y219" s="55" t="str">
        <f>IFERROR(Inv_SY!M221/Inv_SY!$Z221-1,"")</f>
        <v/>
      </c>
      <c r="Z219" s="55" t="str">
        <f>IFERROR(Inv_SY!N221/Inv_SY!$Z221-1,"")</f>
        <v/>
      </c>
      <c r="AA219" s="55" t="str">
        <f>IFERROR(Inv_SY!O221/Inv_SY!$Z221-1,"")</f>
        <v/>
      </c>
      <c r="AB219" s="55" t="str">
        <f>IFERROR(Inv_SY!P221/Inv_SY!$Z221-1,"")</f>
        <v/>
      </c>
      <c r="AC219" s="55" t="str">
        <f>IFERROR(Inv_SY!Q221/Inv_SY!$Z221-1,"")</f>
        <v/>
      </c>
      <c r="AD219" s="55" t="str">
        <f>IFERROR(Inv_SY!R221/Inv_SY!$Z221-1,"")</f>
        <v/>
      </c>
      <c r="AE219" s="55" t="str">
        <f>IFERROR(Inv_SY!S221/Inv_SY!$Z221-1,"")</f>
        <v/>
      </c>
      <c r="AF219" s="55" t="str">
        <f>IFERROR(Inv_SY!T221/Inv_SY!$Z221-1,"")</f>
        <v/>
      </c>
      <c r="AG219" s="55" t="str">
        <f>IFERROR(Inv_SY!U221/Inv_SY!$Z221-1,"")</f>
        <v/>
      </c>
      <c r="AH219" s="55" t="str">
        <f>IFERROR(Inv_SY!V221/Inv_SY!$Y221-1,"")</f>
        <v/>
      </c>
      <c r="AI219" s="55" t="str">
        <f>IFERROR(Inv_SY!W221/Inv_SY!$Y221-1,"")</f>
        <v/>
      </c>
      <c r="AJ219" s="55" t="str">
        <f>IFERROR(Inv_SY!X221/Inv_SY!$Y221-1,"")</f>
        <v/>
      </c>
      <c r="AK219" s="55" t="str">
        <f>IFERROR(Inv_SY!V221/Inv_SY!$Z221-1,"")</f>
        <v/>
      </c>
      <c r="AL219" s="55" t="str">
        <f>IFERROR(Inv_SY!W221/Inv_SY!$Z221-1,"")</f>
        <v/>
      </c>
      <c r="AM219" s="55" t="str">
        <f>IFERROR(Inv_SY!X221/Inv_SY!$Z221-1,"")</f>
        <v/>
      </c>
    </row>
    <row r="220" spans="1:39" x14ac:dyDescent="0.3">
      <c r="A220" s="273">
        <f>YEAR(Table5[[#This Row],[Date]])+IF(MONTH(Table5[[#This Row],[Date]])&gt;=4,1,0)</f>
        <v>2026</v>
      </c>
      <c r="B220" s="273"/>
      <c r="C220" s="273">
        <f>YEAR(Table5[[#This Row],[Date]])</f>
        <v>2025</v>
      </c>
      <c r="D220" s="273"/>
      <c r="E220" s="273"/>
      <c r="F220" s="274" t="str">
        <f>TEXT(Table5[[#This Row],[Date]],"mmm-yy")</f>
        <v>Nov-25</v>
      </c>
      <c r="G220" s="273">
        <f t="shared" si="9"/>
        <v>30</v>
      </c>
      <c r="H220" s="275">
        <f t="shared" si="10"/>
        <v>45963</v>
      </c>
      <c r="I220" s="273">
        <v>8.02</v>
      </c>
      <c r="J220" s="55" t="str">
        <f>IFERROR(Inv_SY!J222/Inv_SY!$Y222-1,"")</f>
        <v/>
      </c>
      <c r="K220" s="55" t="str">
        <f>IFERROR(Inv_SY!K222/Inv_SY!$Y222-1,"")</f>
        <v/>
      </c>
      <c r="L220" s="55" t="str">
        <f>IFERROR(Inv_SY!L222/Inv_SY!$Y222-1,"")</f>
        <v/>
      </c>
      <c r="M220" s="55" t="str">
        <f>IFERROR(Inv_SY!M222/Inv_SY!$Y222-1,"")</f>
        <v/>
      </c>
      <c r="N220" s="55" t="str">
        <f>IFERROR(Inv_SY!N222/Inv_SY!$Y222-1,"")</f>
        <v/>
      </c>
      <c r="O220" s="55" t="str">
        <f>IFERROR(Inv_SY!O222/Inv_SY!$Y222-1,"")</f>
        <v/>
      </c>
      <c r="P220" s="55" t="str">
        <f>IFERROR(Inv_SY!P222/Inv_SY!$Y222-1,"")</f>
        <v/>
      </c>
      <c r="Q220" s="55" t="str">
        <f>IFERROR(Inv_SY!Q222/Inv_SY!$Y222-1,"")</f>
        <v/>
      </c>
      <c r="R220" s="55" t="str">
        <f>IFERROR(Inv_SY!R222/Inv_SY!$Y222-1,"")</f>
        <v/>
      </c>
      <c r="S220" s="55" t="str">
        <f>IFERROR(Inv_SY!S222/Inv_SY!$Y222-1,"")</f>
        <v/>
      </c>
      <c r="T220" s="55" t="str">
        <f>IFERROR(Inv_SY!T222/Inv_SY!$Y222-1,"")</f>
        <v/>
      </c>
      <c r="U220" s="55" t="str">
        <f>IFERROR(Inv_SY!U222/Inv_SY!$Y222-1,"")</f>
        <v/>
      </c>
      <c r="V220" s="55" t="str">
        <f>IFERROR(Inv_SY!J222/Inv_SY!$Z222-1,"")</f>
        <v/>
      </c>
      <c r="W220" s="55" t="str">
        <f>IFERROR(Inv_SY!K222/Inv_SY!$Z222-1,"")</f>
        <v/>
      </c>
      <c r="X220" s="55" t="str">
        <f>IFERROR(Inv_SY!L222/Inv_SY!$Z222-1,"")</f>
        <v/>
      </c>
      <c r="Y220" s="55" t="str">
        <f>IFERROR(Inv_SY!M222/Inv_SY!$Z222-1,"")</f>
        <v/>
      </c>
      <c r="Z220" s="55" t="str">
        <f>IFERROR(Inv_SY!N222/Inv_SY!$Z222-1,"")</f>
        <v/>
      </c>
      <c r="AA220" s="55" t="str">
        <f>IFERROR(Inv_SY!O222/Inv_SY!$Z222-1,"")</f>
        <v/>
      </c>
      <c r="AB220" s="55" t="str">
        <f>IFERROR(Inv_SY!P222/Inv_SY!$Z222-1,"")</f>
        <v/>
      </c>
      <c r="AC220" s="55" t="str">
        <f>IFERROR(Inv_SY!Q222/Inv_SY!$Z222-1,"")</f>
        <v/>
      </c>
      <c r="AD220" s="55" t="str">
        <f>IFERROR(Inv_SY!R222/Inv_SY!$Z222-1,"")</f>
        <v/>
      </c>
      <c r="AE220" s="55" t="str">
        <f>IFERROR(Inv_SY!S222/Inv_SY!$Z222-1,"")</f>
        <v/>
      </c>
      <c r="AF220" s="55" t="str">
        <f>IFERROR(Inv_SY!T222/Inv_SY!$Z222-1,"")</f>
        <v/>
      </c>
      <c r="AG220" s="55" t="str">
        <f>IFERROR(Inv_SY!U222/Inv_SY!$Z222-1,"")</f>
        <v/>
      </c>
      <c r="AH220" s="55" t="str">
        <f>IFERROR(Inv_SY!V222/Inv_SY!$Y222-1,"")</f>
        <v/>
      </c>
      <c r="AI220" s="55" t="str">
        <f>IFERROR(Inv_SY!W222/Inv_SY!$Y222-1,"")</f>
        <v/>
      </c>
      <c r="AJ220" s="55" t="str">
        <f>IFERROR(Inv_SY!X222/Inv_SY!$Y222-1,"")</f>
        <v/>
      </c>
      <c r="AK220" s="55" t="str">
        <f>IFERROR(Inv_SY!V222/Inv_SY!$Z222-1,"")</f>
        <v/>
      </c>
      <c r="AL220" s="55" t="str">
        <f>IFERROR(Inv_SY!W222/Inv_SY!$Z222-1,"")</f>
        <v/>
      </c>
      <c r="AM220" s="55" t="str">
        <f>IFERROR(Inv_SY!X222/Inv_SY!$Z222-1,"")</f>
        <v/>
      </c>
    </row>
    <row r="221" spans="1:39" x14ac:dyDescent="0.3">
      <c r="A221" s="273">
        <f>YEAR(Table5[[#This Row],[Date]])+IF(MONTH(Table5[[#This Row],[Date]])&gt;=4,1,0)</f>
        <v>2026</v>
      </c>
      <c r="B221" s="273"/>
      <c r="C221" s="273">
        <f>YEAR(Table5[[#This Row],[Date]])</f>
        <v>2025</v>
      </c>
      <c r="D221" s="273"/>
      <c r="E221" s="273"/>
      <c r="F221" s="274" t="str">
        <f>TEXT(Table5[[#This Row],[Date]],"mmm-yy")</f>
        <v>Nov-25</v>
      </c>
      <c r="G221" s="273">
        <f t="shared" si="9"/>
        <v>30</v>
      </c>
      <c r="H221" s="275">
        <f t="shared" si="10"/>
        <v>45964</v>
      </c>
      <c r="I221" s="273">
        <v>8.02</v>
      </c>
      <c r="J221" s="55" t="str">
        <f>IFERROR(Inv_SY!J223/Inv_SY!$Y223-1,"")</f>
        <v/>
      </c>
      <c r="K221" s="55" t="str">
        <f>IFERROR(Inv_SY!K223/Inv_SY!$Y223-1,"")</f>
        <v/>
      </c>
      <c r="L221" s="55" t="str">
        <f>IFERROR(Inv_SY!L223/Inv_SY!$Y223-1,"")</f>
        <v/>
      </c>
      <c r="M221" s="55" t="str">
        <f>IFERROR(Inv_SY!M223/Inv_SY!$Y223-1,"")</f>
        <v/>
      </c>
      <c r="N221" s="55" t="str">
        <f>IFERROR(Inv_SY!N223/Inv_SY!$Y223-1,"")</f>
        <v/>
      </c>
      <c r="O221" s="55" t="str">
        <f>IFERROR(Inv_SY!O223/Inv_SY!$Y223-1,"")</f>
        <v/>
      </c>
      <c r="P221" s="55" t="str">
        <f>IFERROR(Inv_SY!P223/Inv_SY!$Y223-1,"")</f>
        <v/>
      </c>
      <c r="Q221" s="55" t="str">
        <f>IFERROR(Inv_SY!Q223/Inv_SY!$Y223-1,"")</f>
        <v/>
      </c>
      <c r="R221" s="55" t="str">
        <f>IFERROR(Inv_SY!R223/Inv_SY!$Y223-1,"")</f>
        <v/>
      </c>
      <c r="S221" s="55" t="str">
        <f>IFERROR(Inv_SY!S223/Inv_SY!$Y223-1,"")</f>
        <v/>
      </c>
      <c r="T221" s="55" t="str">
        <f>IFERROR(Inv_SY!T223/Inv_SY!$Y223-1,"")</f>
        <v/>
      </c>
      <c r="U221" s="55" t="str">
        <f>IFERROR(Inv_SY!U223/Inv_SY!$Y223-1,"")</f>
        <v/>
      </c>
      <c r="V221" s="55" t="str">
        <f>IFERROR(Inv_SY!J223/Inv_SY!$Z223-1,"")</f>
        <v/>
      </c>
      <c r="W221" s="55" t="str">
        <f>IFERROR(Inv_SY!K223/Inv_SY!$Z223-1,"")</f>
        <v/>
      </c>
      <c r="X221" s="55" t="str">
        <f>IFERROR(Inv_SY!L223/Inv_SY!$Z223-1,"")</f>
        <v/>
      </c>
      <c r="Y221" s="55" t="str">
        <f>IFERROR(Inv_SY!M223/Inv_SY!$Z223-1,"")</f>
        <v/>
      </c>
      <c r="Z221" s="55" t="str">
        <f>IFERROR(Inv_SY!N223/Inv_SY!$Z223-1,"")</f>
        <v/>
      </c>
      <c r="AA221" s="55" t="str">
        <f>IFERROR(Inv_SY!O223/Inv_SY!$Z223-1,"")</f>
        <v/>
      </c>
      <c r="AB221" s="55" t="str">
        <f>IFERROR(Inv_SY!P223/Inv_SY!$Z223-1,"")</f>
        <v/>
      </c>
      <c r="AC221" s="55" t="str">
        <f>IFERROR(Inv_SY!Q223/Inv_SY!$Z223-1,"")</f>
        <v/>
      </c>
      <c r="AD221" s="55" t="str">
        <f>IFERROR(Inv_SY!R223/Inv_SY!$Z223-1,"")</f>
        <v/>
      </c>
      <c r="AE221" s="55" t="str">
        <f>IFERROR(Inv_SY!S223/Inv_SY!$Z223-1,"")</f>
        <v/>
      </c>
      <c r="AF221" s="55" t="str">
        <f>IFERROR(Inv_SY!T223/Inv_SY!$Z223-1,"")</f>
        <v/>
      </c>
      <c r="AG221" s="55" t="str">
        <f>IFERROR(Inv_SY!U223/Inv_SY!$Z223-1,"")</f>
        <v/>
      </c>
      <c r="AH221" s="55" t="str">
        <f>IFERROR(Inv_SY!V223/Inv_SY!$Y223-1,"")</f>
        <v/>
      </c>
      <c r="AI221" s="55" t="str">
        <f>IFERROR(Inv_SY!W223/Inv_SY!$Y223-1,"")</f>
        <v/>
      </c>
      <c r="AJ221" s="55" t="str">
        <f>IFERROR(Inv_SY!X223/Inv_SY!$Y223-1,"")</f>
        <v/>
      </c>
      <c r="AK221" s="55" t="str">
        <f>IFERROR(Inv_SY!V223/Inv_SY!$Z223-1,"")</f>
        <v/>
      </c>
      <c r="AL221" s="55" t="str">
        <f>IFERROR(Inv_SY!W223/Inv_SY!$Z223-1,"")</f>
        <v/>
      </c>
      <c r="AM221" s="55" t="str">
        <f>IFERROR(Inv_SY!X223/Inv_SY!$Z223-1,"")</f>
        <v/>
      </c>
    </row>
    <row r="222" spans="1:39" x14ac:dyDescent="0.3">
      <c r="A222" s="273">
        <f>YEAR(Table5[[#This Row],[Date]])+IF(MONTH(Table5[[#This Row],[Date]])&gt;=4,1,0)</f>
        <v>2026</v>
      </c>
      <c r="B222" s="273"/>
      <c r="C222" s="273">
        <f>YEAR(Table5[[#This Row],[Date]])</f>
        <v>2025</v>
      </c>
      <c r="D222" s="273"/>
      <c r="E222" s="273"/>
      <c r="F222" s="274" t="str">
        <f>TEXT(Table5[[#This Row],[Date]],"mmm-yy")</f>
        <v>Nov-25</v>
      </c>
      <c r="G222" s="273">
        <f t="shared" si="9"/>
        <v>30</v>
      </c>
      <c r="H222" s="275">
        <f t="shared" si="10"/>
        <v>45965</v>
      </c>
      <c r="I222" s="273">
        <v>8.02</v>
      </c>
      <c r="J222" s="55" t="str">
        <f>IFERROR(Inv_SY!J224/Inv_SY!$Y224-1,"")</f>
        <v/>
      </c>
      <c r="K222" s="55" t="str">
        <f>IFERROR(Inv_SY!K224/Inv_SY!$Y224-1,"")</f>
        <v/>
      </c>
      <c r="L222" s="55" t="str">
        <f>IFERROR(Inv_SY!L224/Inv_SY!$Y224-1,"")</f>
        <v/>
      </c>
      <c r="M222" s="55" t="str">
        <f>IFERROR(Inv_SY!M224/Inv_SY!$Y224-1,"")</f>
        <v/>
      </c>
      <c r="N222" s="55" t="str">
        <f>IFERROR(Inv_SY!N224/Inv_SY!$Y224-1,"")</f>
        <v/>
      </c>
      <c r="O222" s="55" t="str">
        <f>IFERROR(Inv_SY!O224/Inv_SY!$Y224-1,"")</f>
        <v/>
      </c>
      <c r="P222" s="55" t="str">
        <f>IFERROR(Inv_SY!P224/Inv_SY!$Y224-1,"")</f>
        <v/>
      </c>
      <c r="Q222" s="55" t="str">
        <f>IFERROR(Inv_SY!Q224/Inv_SY!$Y224-1,"")</f>
        <v/>
      </c>
      <c r="R222" s="55" t="str">
        <f>IFERROR(Inv_SY!R224/Inv_SY!$Y224-1,"")</f>
        <v/>
      </c>
      <c r="S222" s="55" t="str">
        <f>IFERROR(Inv_SY!S224/Inv_SY!$Y224-1,"")</f>
        <v/>
      </c>
      <c r="T222" s="55" t="str">
        <f>IFERROR(Inv_SY!T224/Inv_SY!$Y224-1,"")</f>
        <v/>
      </c>
      <c r="U222" s="55" t="str">
        <f>IFERROR(Inv_SY!U224/Inv_SY!$Y224-1,"")</f>
        <v/>
      </c>
      <c r="V222" s="55" t="str">
        <f>IFERROR(Inv_SY!J224/Inv_SY!$Z224-1,"")</f>
        <v/>
      </c>
      <c r="W222" s="55" t="str">
        <f>IFERROR(Inv_SY!K224/Inv_SY!$Z224-1,"")</f>
        <v/>
      </c>
      <c r="X222" s="55" t="str">
        <f>IFERROR(Inv_SY!L224/Inv_SY!$Z224-1,"")</f>
        <v/>
      </c>
      <c r="Y222" s="55" t="str">
        <f>IFERROR(Inv_SY!M224/Inv_SY!$Z224-1,"")</f>
        <v/>
      </c>
      <c r="Z222" s="55" t="str">
        <f>IFERROR(Inv_SY!N224/Inv_SY!$Z224-1,"")</f>
        <v/>
      </c>
      <c r="AA222" s="55" t="str">
        <f>IFERROR(Inv_SY!O224/Inv_SY!$Z224-1,"")</f>
        <v/>
      </c>
      <c r="AB222" s="55" t="str">
        <f>IFERROR(Inv_SY!P224/Inv_SY!$Z224-1,"")</f>
        <v/>
      </c>
      <c r="AC222" s="55" t="str">
        <f>IFERROR(Inv_SY!Q224/Inv_SY!$Z224-1,"")</f>
        <v/>
      </c>
      <c r="AD222" s="55" t="str">
        <f>IFERROR(Inv_SY!R224/Inv_SY!$Z224-1,"")</f>
        <v/>
      </c>
      <c r="AE222" s="55" t="str">
        <f>IFERROR(Inv_SY!S224/Inv_SY!$Z224-1,"")</f>
        <v/>
      </c>
      <c r="AF222" s="55" t="str">
        <f>IFERROR(Inv_SY!T224/Inv_SY!$Z224-1,"")</f>
        <v/>
      </c>
      <c r="AG222" s="55" t="str">
        <f>IFERROR(Inv_SY!U224/Inv_SY!$Z224-1,"")</f>
        <v/>
      </c>
      <c r="AH222" s="55" t="str">
        <f>IFERROR(Inv_SY!V224/Inv_SY!$Y224-1,"")</f>
        <v/>
      </c>
      <c r="AI222" s="55" t="str">
        <f>IFERROR(Inv_SY!W224/Inv_SY!$Y224-1,"")</f>
        <v/>
      </c>
      <c r="AJ222" s="55" t="str">
        <f>IFERROR(Inv_SY!X224/Inv_SY!$Y224-1,"")</f>
        <v/>
      </c>
      <c r="AK222" s="55" t="str">
        <f>IFERROR(Inv_SY!V224/Inv_SY!$Z224-1,"")</f>
        <v/>
      </c>
      <c r="AL222" s="55" t="str">
        <f>IFERROR(Inv_SY!W224/Inv_SY!$Z224-1,"")</f>
        <v/>
      </c>
      <c r="AM222" s="55" t="str">
        <f>IFERROR(Inv_SY!X224/Inv_SY!$Z224-1,"")</f>
        <v/>
      </c>
    </row>
    <row r="223" spans="1:39" x14ac:dyDescent="0.3">
      <c r="A223" s="273">
        <f>YEAR(Table5[[#This Row],[Date]])+IF(MONTH(Table5[[#This Row],[Date]])&gt;=4,1,0)</f>
        <v>2026</v>
      </c>
      <c r="B223" s="273"/>
      <c r="C223" s="273">
        <f>YEAR(Table5[[#This Row],[Date]])</f>
        <v>2025</v>
      </c>
      <c r="D223" s="273"/>
      <c r="E223" s="273"/>
      <c r="F223" s="274" t="str">
        <f>TEXT(Table5[[#This Row],[Date]],"mmm-yy")</f>
        <v>Nov-25</v>
      </c>
      <c r="G223" s="273">
        <f t="shared" si="9"/>
        <v>30</v>
      </c>
      <c r="H223" s="275">
        <f t="shared" si="10"/>
        <v>45966</v>
      </c>
      <c r="I223" s="273">
        <v>8.02</v>
      </c>
      <c r="J223" s="55" t="str">
        <f>IFERROR(Inv_SY!J225/Inv_SY!$Y225-1,"")</f>
        <v/>
      </c>
      <c r="K223" s="55" t="str">
        <f>IFERROR(Inv_SY!K225/Inv_SY!$Y225-1,"")</f>
        <v/>
      </c>
      <c r="L223" s="55" t="str">
        <f>IFERROR(Inv_SY!L225/Inv_SY!$Y225-1,"")</f>
        <v/>
      </c>
      <c r="M223" s="55" t="str">
        <f>IFERROR(Inv_SY!M225/Inv_SY!$Y225-1,"")</f>
        <v/>
      </c>
      <c r="N223" s="55" t="str">
        <f>IFERROR(Inv_SY!N225/Inv_SY!$Y225-1,"")</f>
        <v/>
      </c>
      <c r="O223" s="55" t="str">
        <f>IFERROR(Inv_SY!O225/Inv_SY!$Y225-1,"")</f>
        <v/>
      </c>
      <c r="P223" s="55" t="str">
        <f>IFERROR(Inv_SY!P225/Inv_SY!$Y225-1,"")</f>
        <v/>
      </c>
      <c r="Q223" s="55" t="str">
        <f>IFERROR(Inv_SY!Q225/Inv_SY!$Y225-1,"")</f>
        <v/>
      </c>
      <c r="R223" s="55" t="str">
        <f>IFERROR(Inv_SY!R225/Inv_SY!$Y225-1,"")</f>
        <v/>
      </c>
      <c r="S223" s="55" t="str">
        <f>IFERROR(Inv_SY!S225/Inv_SY!$Y225-1,"")</f>
        <v/>
      </c>
      <c r="T223" s="55" t="str">
        <f>IFERROR(Inv_SY!T225/Inv_SY!$Y225-1,"")</f>
        <v/>
      </c>
      <c r="U223" s="55" t="str">
        <f>IFERROR(Inv_SY!U225/Inv_SY!$Y225-1,"")</f>
        <v/>
      </c>
      <c r="V223" s="55" t="str">
        <f>IFERROR(Inv_SY!J225/Inv_SY!$Z225-1,"")</f>
        <v/>
      </c>
      <c r="W223" s="55" t="str">
        <f>IFERROR(Inv_SY!K225/Inv_SY!$Z225-1,"")</f>
        <v/>
      </c>
      <c r="X223" s="55" t="str">
        <f>IFERROR(Inv_SY!L225/Inv_SY!$Z225-1,"")</f>
        <v/>
      </c>
      <c r="Y223" s="55" t="str">
        <f>IFERROR(Inv_SY!M225/Inv_SY!$Z225-1,"")</f>
        <v/>
      </c>
      <c r="Z223" s="55" t="str">
        <f>IFERROR(Inv_SY!N225/Inv_SY!$Z225-1,"")</f>
        <v/>
      </c>
      <c r="AA223" s="55" t="str">
        <f>IFERROR(Inv_SY!O225/Inv_SY!$Z225-1,"")</f>
        <v/>
      </c>
      <c r="AB223" s="55" t="str">
        <f>IFERROR(Inv_SY!P225/Inv_SY!$Z225-1,"")</f>
        <v/>
      </c>
      <c r="AC223" s="55" t="str">
        <f>IFERROR(Inv_SY!Q225/Inv_SY!$Z225-1,"")</f>
        <v/>
      </c>
      <c r="AD223" s="55" t="str">
        <f>IFERROR(Inv_SY!R225/Inv_SY!$Z225-1,"")</f>
        <v/>
      </c>
      <c r="AE223" s="55" t="str">
        <f>IFERROR(Inv_SY!S225/Inv_SY!$Z225-1,"")</f>
        <v/>
      </c>
      <c r="AF223" s="55" t="str">
        <f>IFERROR(Inv_SY!T225/Inv_SY!$Z225-1,"")</f>
        <v/>
      </c>
      <c r="AG223" s="55" t="str">
        <f>IFERROR(Inv_SY!U225/Inv_SY!$Z225-1,"")</f>
        <v/>
      </c>
      <c r="AH223" s="55" t="str">
        <f>IFERROR(Inv_SY!V225/Inv_SY!$Y225-1,"")</f>
        <v/>
      </c>
      <c r="AI223" s="55" t="str">
        <f>IFERROR(Inv_SY!W225/Inv_SY!$Y225-1,"")</f>
        <v/>
      </c>
      <c r="AJ223" s="55" t="str">
        <f>IFERROR(Inv_SY!X225/Inv_SY!$Y225-1,"")</f>
        <v/>
      </c>
      <c r="AK223" s="55" t="str">
        <f>IFERROR(Inv_SY!V225/Inv_SY!$Z225-1,"")</f>
        <v/>
      </c>
      <c r="AL223" s="55" t="str">
        <f>IFERROR(Inv_SY!W225/Inv_SY!$Z225-1,"")</f>
        <v/>
      </c>
      <c r="AM223" s="55" t="str">
        <f>IFERROR(Inv_SY!X225/Inv_SY!$Z225-1,"")</f>
        <v/>
      </c>
    </row>
    <row r="224" spans="1:39" x14ac:dyDescent="0.3">
      <c r="A224" s="273">
        <f>YEAR(Table5[[#This Row],[Date]])+IF(MONTH(Table5[[#This Row],[Date]])&gt;=4,1,0)</f>
        <v>2026</v>
      </c>
      <c r="B224" s="273"/>
      <c r="C224" s="273">
        <f>YEAR(Table5[[#This Row],[Date]])</f>
        <v>2025</v>
      </c>
      <c r="D224" s="273"/>
      <c r="E224" s="273"/>
      <c r="F224" s="274" t="str">
        <f>TEXT(Table5[[#This Row],[Date]],"mmm-yy")</f>
        <v>Nov-25</v>
      </c>
      <c r="G224" s="273">
        <f t="shared" si="9"/>
        <v>30</v>
      </c>
      <c r="H224" s="275">
        <f t="shared" si="10"/>
        <v>45967</v>
      </c>
      <c r="I224" s="273">
        <v>8.02</v>
      </c>
      <c r="J224" s="55" t="str">
        <f>IFERROR(Inv_SY!J226/Inv_SY!$Y226-1,"")</f>
        <v/>
      </c>
      <c r="K224" s="55" t="str">
        <f>IFERROR(Inv_SY!K226/Inv_SY!$Y226-1,"")</f>
        <v/>
      </c>
      <c r="L224" s="55" t="str">
        <f>IFERROR(Inv_SY!L226/Inv_SY!$Y226-1,"")</f>
        <v/>
      </c>
      <c r="M224" s="55" t="str">
        <f>IFERROR(Inv_SY!M226/Inv_SY!$Y226-1,"")</f>
        <v/>
      </c>
      <c r="N224" s="55" t="str">
        <f>IFERROR(Inv_SY!N226/Inv_SY!$Y226-1,"")</f>
        <v/>
      </c>
      <c r="O224" s="55" t="str">
        <f>IFERROR(Inv_SY!O226/Inv_SY!$Y226-1,"")</f>
        <v/>
      </c>
      <c r="P224" s="55" t="str">
        <f>IFERROR(Inv_SY!P226/Inv_SY!$Y226-1,"")</f>
        <v/>
      </c>
      <c r="Q224" s="55" t="str">
        <f>IFERROR(Inv_SY!Q226/Inv_SY!$Y226-1,"")</f>
        <v/>
      </c>
      <c r="R224" s="55" t="str">
        <f>IFERROR(Inv_SY!R226/Inv_SY!$Y226-1,"")</f>
        <v/>
      </c>
      <c r="S224" s="55" t="str">
        <f>IFERROR(Inv_SY!S226/Inv_SY!$Y226-1,"")</f>
        <v/>
      </c>
      <c r="T224" s="55" t="str">
        <f>IFERROR(Inv_SY!T226/Inv_SY!$Y226-1,"")</f>
        <v/>
      </c>
      <c r="U224" s="55" t="str">
        <f>IFERROR(Inv_SY!U226/Inv_SY!$Y226-1,"")</f>
        <v/>
      </c>
      <c r="V224" s="55" t="str">
        <f>IFERROR(Inv_SY!J226/Inv_SY!$Z226-1,"")</f>
        <v/>
      </c>
      <c r="W224" s="55" t="str">
        <f>IFERROR(Inv_SY!K226/Inv_SY!$Z226-1,"")</f>
        <v/>
      </c>
      <c r="X224" s="55" t="str">
        <f>IFERROR(Inv_SY!L226/Inv_SY!$Z226-1,"")</f>
        <v/>
      </c>
      <c r="Y224" s="55" t="str">
        <f>IFERROR(Inv_SY!M226/Inv_SY!$Z226-1,"")</f>
        <v/>
      </c>
      <c r="Z224" s="55" t="str">
        <f>IFERROR(Inv_SY!N226/Inv_SY!$Z226-1,"")</f>
        <v/>
      </c>
      <c r="AA224" s="55" t="str">
        <f>IFERROR(Inv_SY!O226/Inv_SY!$Z226-1,"")</f>
        <v/>
      </c>
      <c r="AB224" s="55" t="str">
        <f>IFERROR(Inv_SY!P226/Inv_SY!$Z226-1,"")</f>
        <v/>
      </c>
      <c r="AC224" s="55" t="str">
        <f>IFERROR(Inv_SY!Q226/Inv_SY!$Z226-1,"")</f>
        <v/>
      </c>
      <c r="AD224" s="55" t="str">
        <f>IFERROR(Inv_SY!R226/Inv_SY!$Z226-1,"")</f>
        <v/>
      </c>
      <c r="AE224" s="55" t="str">
        <f>IFERROR(Inv_SY!S226/Inv_SY!$Z226-1,"")</f>
        <v/>
      </c>
      <c r="AF224" s="55" t="str">
        <f>IFERROR(Inv_SY!T226/Inv_SY!$Z226-1,"")</f>
        <v/>
      </c>
      <c r="AG224" s="55" t="str">
        <f>IFERROR(Inv_SY!U226/Inv_SY!$Z226-1,"")</f>
        <v/>
      </c>
      <c r="AH224" s="55" t="str">
        <f>IFERROR(Inv_SY!V226/Inv_SY!$Y226-1,"")</f>
        <v/>
      </c>
      <c r="AI224" s="55" t="str">
        <f>IFERROR(Inv_SY!W226/Inv_SY!$Y226-1,"")</f>
        <v/>
      </c>
      <c r="AJ224" s="55" t="str">
        <f>IFERROR(Inv_SY!X226/Inv_SY!$Y226-1,"")</f>
        <v/>
      </c>
      <c r="AK224" s="55" t="str">
        <f>IFERROR(Inv_SY!V226/Inv_SY!$Z226-1,"")</f>
        <v/>
      </c>
      <c r="AL224" s="55" t="str">
        <f>IFERROR(Inv_SY!W226/Inv_SY!$Z226-1,"")</f>
        <v/>
      </c>
      <c r="AM224" s="55" t="str">
        <f>IFERROR(Inv_SY!X226/Inv_SY!$Z226-1,"")</f>
        <v/>
      </c>
    </row>
    <row r="225" spans="1:39" x14ac:dyDescent="0.3">
      <c r="A225" s="273">
        <f>YEAR(Table5[[#This Row],[Date]])+IF(MONTH(Table5[[#This Row],[Date]])&gt;=4,1,0)</f>
        <v>2026</v>
      </c>
      <c r="B225" s="273"/>
      <c r="C225" s="273">
        <f>YEAR(Table5[[#This Row],[Date]])</f>
        <v>2025</v>
      </c>
      <c r="D225" s="273"/>
      <c r="E225" s="273"/>
      <c r="F225" s="274" t="str">
        <f>TEXT(Table5[[#This Row],[Date]],"mmm-yy")</f>
        <v>Nov-25</v>
      </c>
      <c r="G225" s="273">
        <f t="shared" si="9"/>
        <v>30</v>
      </c>
      <c r="H225" s="275">
        <f t="shared" si="10"/>
        <v>45968</v>
      </c>
      <c r="I225" s="273">
        <v>8.02</v>
      </c>
      <c r="J225" s="55" t="str">
        <f>IFERROR(Inv_SY!J227/Inv_SY!$Y227-1,"")</f>
        <v/>
      </c>
      <c r="K225" s="55" t="str">
        <f>IFERROR(Inv_SY!K227/Inv_SY!$Y227-1,"")</f>
        <v/>
      </c>
      <c r="L225" s="55" t="str">
        <f>IFERROR(Inv_SY!L227/Inv_SY!$Y227-1,"")</f>
        <v/>
      </c>
      <c r="M225" s="55" t="str">
        <f>IFERROR(Inv_SY!M227/Inv_SY!$Y227-1,"")</f>
        <v/>
      </c>
      <c r="N225" s="55" t="str">
        <f>IFERROR(Inv_SY!N227/Inv_SY!$Y227-1,"")</f>
        <v/>
      </c>
      <c r="O225" s="55" t="str">
        <f>IFERROR(Inv_SY!O227/Inv_SY!$Y227-1,"")</f>
        <v/>
      </c>
      <c r="P225" s="55" t="str">
        <f>IFERROR(Inv_SY!P227/Inv_SY!$Y227-1,"")</f>
        <v/>
      </c>
      <c r="Q225" s="55" t="str">
        <f>IFERROR(Inv_SY!Q227/Inv_SY!$Y227-1,"")</f>
        <v/>
      </c>
      <c r="R225" s="55" t="str">
        <f>IFERROR(Inv_SY!R227/Inv_SY!$Y227-1,"")</f>
        <v/>
      </c>
      <c r="S225" s="55" t="str">
        <f>IFERROR(Inv_SY!S227/Inv_SY!$Y227-1,"")</f>
        <v/>
      </c>
      <c r="T225" s="55" t="str">
        <f>IFERROR(Inv_SY!T227/Inv_SY!$Y227-1,"")</f>
        <v/>
      </c>
      <c r="U225" s="55" t="str">
        <f>IFERROR(Inv_SY!U227/Inv_SY!$Y227-1,"")</f>
        <v/>
      </c>
      <c r="V225" s="55" t="str">
        <f>IFERROR(Inv_SY!J227/Inv_SY!$Z227-1,"")</f>
        <v/>
      </c>
      <c r="W225" s="55" t="str">
        <f>IFERROR(Inv_SY!K227/Inv_SY!$Z227-1,"")</f>
        <v/>
      </c>
      <c r="X225" s="55" t="str">
        <f>IFERROR(Inv_SY!L227/Inv_SY!$Z227-1,"")</f>
        <v/>
      </c>
      <c r="Y225" s="55" t="str">
        <f>IFERROR(Inv_SY!M227/Inv_SY!$Z227-1,"")</f>
        <v/>
      </c>
      <c r="Z225" s="55" t="str">
        <f>IFERROR(Inv_SY!N227/Inv_SY!$Z227-1,"")</f>
        <v/>
      </c>
      <c r="AA225" s="55" t="str">
        <f>IFERROR(Inv_SY!O227/Inv_SY!$Z227-1,"")</f>
        <v/>
      </c>
      <c r="AB225" s="55" t="str">
        <f>IFERROR(Inv_SY!P227/Inv_SY!$Z227-1,"")</f>
        <v/>
      </c>
      <c r="AC225" s="55" t="str">
        <f>IFERROR(Inv_SY!Q227/Inv_SY!$Z227-1,"")</f>
        <v/>
      </c>
      <c r="AD225" s="55" t="str">
        <f>IFERROR(Inv_SY!R227/Inv_SY!$Z227-1,"")</f>
        <v/>
      </c>
      <c r="AE225" s="55" t="str">
        <f>IFERROR(Inv_SY!S227/Inv_SY!$Z227-1,"")</f>
        <v/>
      </c>
      <c r="AF225" s="55" t="str">
        <f>IFERROR(Inv_SY!T227/Inv_SY!$Z227-1,"")</f>
        <v/>
      </c>
      <c r="AG225" s="55" t="str">
        <f>IFERROR(Inv_SY!U227/Inv_SY!$Z227-1,"")</f>
        <v/>
      </c>
      <c r="AH225" s="55" t="str">
        <f>IFERROR(Inv_SY!V227/Inv_SY!$Y227-1,"")</f>
        <v/>
      </c>
      <c r="AI225" s="55" t="str">
        <f>IFERROR(Inv_SY!W227/Inv_SY!$Y227-1,"")</f>
        <v/>
      </c>
      <c r="AJ225" s="55" t="str">
        <f>IFERROR(Inv_SY!X227/Inv_SY!$Y227-1,"")</f>
        <v/>
      </c>
      <c r="AK225" s="55" t="str">
        <f>IFERROR(Inv_SY!V227/Inv_SY!$Z227-1,"")</f>
        <v/>
      </c>
      <c r="AL225" s="55" t="str">
        <f>IFERROR(Inv_SY!W227/Inv_SY!$Z227-1,"")</f>
        <v/>
      </c>
      <c r="AM225" s="55" t="str">
        <f>IFERROR(Inv_SY!X227/Inv_SY!$Z227-1,"")</f>
        <v/>
      </c>
    </row>
    <row r="226" spans="1:39" x14ac:dyDescent="0.3">
      <c r="A226" s="273">
        <f>YEAR(Table5[[#This Row],[Date]])+IF(MONTH(Table5[[#This Row],[Date]])&gt;=4,1,0)</f>
        <v>2026</v>
      </c>
      <c r="B226" s="273"/>
      <c r="C226" s="273">
        <f>YEAR(Table5[[#This Row],[Date]])</f>
        <v>2025</v>
      </c>
      <c r="D226" s="273"/>
      <c r="E226" s="273"/>
      <c r="F226" s="274" t="str">
        <f>TEXT(Table5[[#This Row],[Date]],"mmm-yy")</f>
        <v>Nov-25</v>
      </c>
      <c r="G226" s="273">
        <f t="shared" si="9"/>
        <v>30</v>
      </c>
      <c r="H226" s="275">
        <f t="shared" si="10"/>
        <v>45969</v>
      </c>
      <c r="I226" s="273">
        <v>8.02</v>
      </c>
      <c r="J226" s="55" t="str">
        <f>IFERROR(Inv_SY!J228/Inv_SY!$Y228-1,"")</f>
        <v/>
      </c>
      <c r="K226" s="55" t="str">
        <f>IFERROR(Inv_SY!K228/Inv_SY!$Y228-1,"")</f>
        <v/>
      </c>
      <c r="L226" s="55" t="str">
        <f>IFERROR(Inv_SY!L228/Inv_SY!$Y228-1,"")</f>
        <v/>
      </c>
      <c r="M226" s="55" t="str">
        <f>IFERROR(Inv_SY!M228/Inv_SY!$Y228-1,"")</f>
        <v/>
      </c>
      <c r="N226" s="55" t="str">
        <f>IFERROR(Inv_SY!N228/Inv_SY!$Y228-1,"")</f>
        <v/>
      </c>
      <c r="O226" s="55" t="str">
        <f>IFERROR(Inv_SY!O228/Inv_SY!$Y228-1,"")</f>
        <v/>
      </c>
      <c r="P226" s="55" t="str">
        <f>IFERROR(Inv_SY!P228/Inv_SY!$Y228-1,"")</f>
        <v/>
      </c>
      <c r="Q226" s="55" t="str">
        <f>IFERROR(Inv_SY!Q228/Inv_SY!$Y228-1,"")</f>
        <v/>
      </c>
      <c r="R226" s="55" t="str">
        <f>IFERROR(Inv_SY!R228/Inv_SY!$Y228-1,"")</f>
        <v/>
      </c>
      <c r="S226" s="55" t="str">
        <f>IFERROR(Inv_SY!S228/Inv_SY!$Y228-1,"")</f>
        <v/>
      </c>
      <c r="T226" s="55" t="str">
        <f>IFERROR(Inv_SY!T228/Inv_SY!$Y228-1,"")</f>
        <v/>
      </c>
      <c r="U226" s="55" t="str">
        <f>IFERROR(Inv_SY!U228/Inv_SY!$Y228-1,"")</f>
        <v/>
      </c>
      <c r="V226" s="55" t="str">
        <f>IFERROR(Inv_SY!J228/Inv_SY!$Z228-1,"")</f>
        <v/>
      </c>
      <c r="W226" s="55" t="str">
        <f>IFERROR(Inv_SY!K228/Inv_SY!$Z228-1,"")</f>
        <v/>
      </c>
      <c r="X226" s="55" t="str">
        <f>IFERROR(Inv_SY!L228/Inv_SY!$Z228-1,"")</f>
        <v/>
      </c>
      <c r="Y226" s="55" t="str">
        <f>IFERROR(Inv_SY!M228/Inv_SY!$Z228-1,"")</f>
        <v/>
      </c>
      <c r="Z226" s="55" t="str">
        <f>IFERROR(Inv_SY!N228/Inv_SY!$Z228-1,"")</f>
        <v/>
      </c>
      <c r="AA226" s="55" t="str">
        <f>IFERROR(Inv_SY!O228/Inv_SY!$Z228-1,"")</f>
        <v/>
      </c>
      <c r="AB226" s="55" t="str">
        <f>IFERROR(Inv_SY!P228/Inv_SY!$Z228-1,"")</f>
        <v/>
      </c>
      <c r="AC226" s="55" t="str">
        <f>IFERROR(Inv_SY!Q228/Inv_SY!$Z228-1,"")</f>
        <v/>
      </c>
      <c r="AD226" s="55" t="str">
        <f>IFERROR(Inv_SY!R228/Inv_SY!$Z228-1,"")</f>
        <v/>
      </c>
      <c r="AE226" s="55" t="str">
        <f>IFERROR(Inv_SY!S228/Inv_SY!$Z228-1,"")</f>
        <v/>
      </c>
      <c r="AF226" s="55" t="str">
        <f>IFERROR(Inv_SY!T228/Inv_SY!$Z228-1,"")</f>
        <v/>
      </c>
      <c r="AG226" s="55" t="str">
        <f>IFERROR(Inv_SY!U228/Inv_SY!$Z228-1,"")</f>
        <v/>
      </c>
      <c r="AH226" s="55" t="str">
        <f>IFERROR(Inv_SY!V228/Inv_SY!$Y228-1,"")</f>
        <v/>
      </c>
      <c r="AI226" s="55" t="str">
        <f>IFERROR(Inv_SY!W228/Inv_SY!$Y228-1,"")</f>
        <v/>
      </c>
      <c r="AJ226" s="55" t="str">
        <f>IFERROR(Inv_SY!X228/Inv_SY!$Y228-1,"")</f>
        <v/>
      </c>
      <c r="AK226" s="55" t="str">
        <f>IFERROR(Inv_SY!V228/Inv_SY!$Z228-1,"")</f>
        <v/>
      </c>
      <c r="AL226" s="55" t="str">
        <f>IFERROR(Inv_SY!W228/Inv_SY!$Z228-1,"")</f>
        <v/>
      </c>
      <c r="AM226" s="55" t="str">
        <f>IFERROR(Inv_SY!X228/Inv_SY!$Z228-1,"")</f>
        <v/>
      </c>
    </row>
    <row r="227" spans="1:39" x14ac:dyDescent="0.3">
      <c r="A227" s="273">
        <f>YEAR(Table5[[#This Row],[Date]])+IF(MONTH(Table5[[#This Row],[Date]])&gt;=4,1,0)</f>
        <v>2026</v>
      </c>
      <c r="B227" s="273"/>
      <c r="C227" s="273">
        <f>YEAR(Table5[[#This Row],[Date]])</f>
        <v>2025</v>
      </c>
      <c r="D227" s="273"/>
      <c r="E227" s="273"/>
      <c r="F227" s="274" t="str">
        <f>TEXT(Table5[[#This Row],[Date]],"mmm-yy")</f>
        <v>Nov-25</v>
      </c>
      <c r="G227" s="273">
        <f t="shared" si="9"/>
        <v>30</v>
      </c>
      <c r="H227" s="275">
        <f t="shared" si="10"/>
        <v>45970</v>
      </c>
      <c r="I227" s="273">
        <v>8.02</v>
      </c>
      <c r="J227" s="55" t="str">
        <f>IFERROR(Inv_SY!J229/Inv_SY!$Y229-1,"")</f>
        <v/>
      </c>
      <c r="K227" s="55" t="str">
        <f>IFERROR(Inv_SY!K229/Inv_SY!$Y229-1,"")</f>
        <v/>
      </c>
      <c r="L227" s="55" t="str">
        <f>IFERROR(Inv_SY!L229/Inv_SY!$Y229-1,"")</f>
        <v/>
      </c>
      <c r="M227" s="55" t="str">
        <f>IFERROR(Inv_SY!M229/Inv_SY!$Y229-1,"")</f>
        <v/>
      </c>
      <c r="N227" s="55" t="str">
        <f>IFERROR(Inv_SY!N229/Inv_SY!$Y229-1,"")</f>
        <v/>
      </c>
      <c r="O227" s="55" t="str">
        <f>IFERROR(Inv_SY!O229/Inv_SY!$Y229-1,"")</f>
        <v/>
      </c>
      <c r="P227" s="55" t="str">
        <f>IFERROR(Inv_SY!P229/Inv_SY!$Y229-1,"")</f>
        <v/>
      </c>
      <c r="Q227" s="55" t="str">
        <f>IFERROR(Inv_SY!Q229/Inv_SY!$Y229-1,"")</f>
        <v/>
      </c>
      <c r="R227" s="55" t="str">
        <f>IFERROR(Inv_SY!R229/Inv_SY!$Y229-1,"")</f>
        <v/>
      </c>
      <c r="S227" s="55" t="str">
        <f>IFERROR(Inv_SY!S229/Inv_SY!$Y229-1,"")</f>
        <v/>
      </c>
      <c r="T227" s="55" t="str">
        <f>IFERROR(Inv_SY!T229/Inv_SY!$Y229-1,"")</f>
        <v/>
      </c>
      <c r="U227" s="55" t="str">
        <f>IFERROR(Inv_SY!U229/Inv_SY!$Y229-1,"")</f>
        <v/>
      </c>
      <c r="V227" s="55" t="str">
        <f>IFERROR(Inv_SY!J229/Inv_SY!$Z229-1,"")</f>
        <v/>
      </c>
      <c r="W227" s="55" t="str">
        <f>IFERROR(Inv_SY!K229/Inv_SY!$Z229-1,"")</f>
        <v/>
      </c>
      <c r="X227" s="55" t="str">
        <f>IFERROR(Inv_SY!L229/Inv_SY!$Z229-1,"")</f>
        <v/>
      </c>
      <c r="Y227" s="55" t="str">
        <f>IFERROR(Inv_SY!M229/Inv_SY!$Z229-1,"")</f>
        <v/>
      </c>
      <c r="Z227" s="55" t="str">
        <f>IFERROR(Inv_SY!N229/Inv_SY!$Z229-1,"")</f>
        <v/>
      </c>
      <c r="AA227" s="55" t="str">
        <f>IFERROR(Inv_SY!O229/Inv_SY!$Z229-1,"")</f>
        <v/>
      </c>
      <c r="AB227" s="55" t="str">
        <f>IFERROR(Inv_SY!P229/Inv_SY!$Z229-1,"")</f>
        <v/>
      </c>
      <c r="AC227" s="55" t="str">
        <f>IFERROR(Inv_SY!Q229/Inv_SY!$Z229-1,"")</f>
        <v/>
      </c>
      <c r="AD227" s="55" t="str">
        <f>IFERROR(Inv_SY!R229/Inv_SY!$Z229-1,"")</f>
        <v/>
      </c>
      <c r="AE227" s="55" t="str">
        <f>IFERROR(Inv_SY!S229/Inv_SY!$Z229-1,"")</f>
        <v/>
      </c>
      <c r="AF227" s="55" t="str">
        <f>IFERROR(Inv_SY!T229/Inv_SY!$Z229-1,"")</f>
        <v/>
      </c>
      <c r="AG227" s="55" t="str">
        <f>IFERROR(Inv_SY!U229/Inv_SY!$Z229-1,"")</f>
        <v/>
      </c>
      <c r="AH227" s="55" t="str">
        <f>IFERROR(Inv_SY!V229/Inv_SY!$Y229-1,"")</f>
        <v/>
      </c>
      <c r="AI227" s="55" t="str">
        <f>IFERROR(Inv_SY!W229/Inv_SY!$Y229-1,"")</f>
        <v/>
      </c>
      <c r="AJ227" s="55" t="str">
        <f>IFERROR(Inv_SY!X229/Inv_SY!$Y229-1,"")</f>
        <v/>
      </c>
      <c r="AK227" s="55" t="str">
        <f>IFERROR(Inv_SY!V229/Inv_SY!$Z229-1,"")</f>
        <v/>
      </c>
      <c r="AL227" s="55" t="str">
        <f>IFERROR(Inv_SY!W229/Inv_SY!$Z229-1,"")</f>
        <v/>
      </c>
      <c r="AM227" s="55" t="str">
        <f>IFERROR(Inv_SY!X229/Inv_SY!$Z229-1,"")</f>
        <v/>
      </c>
    </row>
    <row r="228" spans="1:39" x14ac:dyDescent="0.3">
      <c r="A228" s="273">
        <f>YEAR(Table5[[#This Row],[Date]])+IF(MONTH(Table5[[#This Row],[Date]])&gt;=4,1,0)</f>
        <v>2026</v>
      </c>
      <c r="B228" s="273"/>
      <c r="C228" s="273">
        <f>YEAR(Table5[[#This Row],[Date]])</f>
        <v>2025</v>
      </c>
      <c r="D228" s="273"/>
      <c r="E228" s="273"/>
      <c r="F228" s="274" t="str">
        <f>TEXT(Table5[[#This Row],[Date]],"mmm-yy")</f>
        <v>Nov-25</v>
      </c>
      <c r="G228" s="273">
        <f t="shared" si="9"/>
        <v>30</v>
      </c>
      <c r="H228" s="275">
        <f t="shared" si="10"/>
        <v>45971</v>
      </c>
      <c r="I228" s="273">
        <v>8.02</v>
      </c>
      <c r="J228" s="55" t="str">
        <f>IFERROR(Inv_SY!J230/Inv_SY!$Y230-1,"")</f>
        <v/>
      </c>
      <c r="K228" s="55" t="str">
        <f>IFERROR(Inv_SY!K230/Inv_SY!$Y230-1,"")</f>
        <v/>
      </c>
      <c r="L228" s="55" t="str">
        <f>IFERROR(Inv_SY!L230/Inv_SY!$Y230-1,"")</f>
        <v/>
      </c>
      <c r="M228" s="55" t="str">
        <f>IFERROR(Inv_SY!M230/Inv_SY!$Y230-1,"")</f>
        <v/>
      </c>
      <c r="N228" s="55" t="str">
        <f>IFERROR(Inv_SY!N230/Inv_SY!$Y230-1,"")</f>
        <v/>
      </c>
      <c r="O228" s="55" t="str">
        <f>IFERROR(Inv_SY!O230/Inv_SY!$Y230-1,"")</f>
        <v/>
      </c>
      <c r="P228" s="55" t="str">
        <f>IFERROR(Inv_SY!P230/Inv_SY!$Y230-1,"")</f>
        <v/>
      </c>
      <c r="Q228" s="55" t="str">
        <f>IFERROR(Inv_SY!Q230/Inv_SY!$Y230-1,"")</f>
        <v/>
      </c>
      <c r="R228" s="55" t="str">
        <f>IFERROR(Inv_SY!R230/Inv_SY!$Y230-1,"")</f>
        <v/>
      </c>
      <c r="S228" s="55" t="str">
        <f>IFERROR(Inv_SY!S230/Inv_SY!$Y230-1,"")</f>
        <v/>
      </c>
      <c r="T228" s="55" t="str">
        <f>IFERROR(Inv_SY!T230/Inv_SY!$Y230-1,"")</f>
        <v/>
      </c>
      <c r="U228" s="55" t="str">
        <f>IFERROR(Inv_SY!U230/Inv_SY!$Y230-1,"")</f>
        <v/>
      </c>
      <c r="V228" s="55" t="str">
        <f>IFERROR(Inv_SY!J230/Inv_SY!$Z230-1,"")</f>
        <v/>
      </c>
      <c r="W228" s="55" t="str">
        <f>IFERROR(Inv_SY!K230/Inv_SY!$Z230-1,"")</f>
        <v/>
      </c>
      <c r="X228" s="55" t="str">
        <f>IFERROR(Inv_SY!L230/Inv_SY!$Z230-1,"")</f>
        <v/>
      </c>
      <c r="Y228" s="55" t="str">
        <f>IFERROR(Inv_SY!M230/Inv_SY!$Z230-1,"")</f>
        <v/>
      </c>
      <c r="Z228" s="55" t="str">
        <f>IFERROR(Inv_SY!N230/Inv_SY!$Z230-1,"")</f>
        <v/>
      </c>
      <c r="AA228" s="55" t="str">
        <f>IFERROR(Inv_SY!O230/Inv_SY!$Z230-1,"")</f>
        <v/>
      </c>
      <c r="AB228" s="55" t="str">
        <f>IFERROR(Inv_SY!P230/Inv_SY!$Z230-1,"")</f>
        <v/>
      </c>
      <c r="AC228" s="55" t="str">
        <f>IFERROR(Inv_SY!Q230/Inv_SY!$Z230-1,"")</f>
        <v/>
      </c>
      <c r="AD228" s="55" t="str">
        <f>IFERROR(Inv_SY!R230/Inv_SY!$Z230-1,"")</f>
        <v/>
      </c>
      <c r="AE228" s="55" t="str">
        <f>IFERROR(Inv_SY!S230/Inv_SY!$Z230-1,"")</f>
        <v/>
      </c>
      <c r="AF228" s="55" t="str">
        <f>IFERROR(Inv_SY!T230/Inv_SY!$Z230-1,"")</f>
        <v/>
      </c>
      <c r="AG228" s="55" t="str">
        <f>IFERROR(Inv_SY!U230/Inv_SY!$Z230-1,"")</f>
        <v/>
      </c>
      <c r="AH228" s="55" t="str">
        <f>IFERROR(Inv_SY!V230/Inv_SY!$Y230-1,"")</f>
        <v/>
      </c>
      <c r="AI228" s="55" t="str">
        <f>IFERROR(Inv_SY!W230/Inv_SY!$Y230-1,"")</f>
        <v/>
      </c>
      <c r="AJ228" s="55" t="str">
        <f>IFERROR(Inv_SY!X230/Inv_SY!$Y230-1,"")</f>
        <v/>
      </c>
      <c r="AK228" s="55" t="str">
        <f>IFERROR(Inv_SY!V230/Inv_SY!$Z230-1,"")</f>
        <v/>
      </c>
      <c r="AL228" s="55" t="str">
        <f>IFERROR(Inv_SY!W230/Inv_SY!$Z230-1,"")</f>
        <v/>
      </c>
      <c r="AM228" s="55" t="str">
        <f>IFERROR(Inv_SY!X230/Inv_SY!$Z230-1,"")</f>
        <v/>
      </c>
    </row>
    <row r="229" spans="1:39" x14ac:dyDescent="0.3">
      <c r="A229" s="273">
        <f>YEAR(Table5[[#This Row],[Date]])+IF(MONTH(Table5[[#This Row],[Date]])&gt;=4,1,0)</f>
        <v>2026</v>
      </c>
      <c r="B229" s="273"/>
      <c r="C229" s="273">
        <f>YEAR(Table5[[#This Row],[Date]])</f>
        <v>2025</v>
      </c>
      <c r="D229" s="273"/>
      <c r="E229" s="273"/>
      <c r="F229" s="274" t="str">
        <f>TEXT(Table5[[#This Row],[Date]],"mmm-yy")</f>
        <v>Nov-25</v>
      </c>
      <c r="G229" s="273">
        <f t="shared" si="9"/>
        <v>30</v>
      </c>
      <c r="H229" s="275">
        <f t="shared" si="10"/>
        <v>45972</v>
      </c>
      <c r="I229" s="273">
        <v>8.02</v>
      </c>
      <c r="J229" s="55" t="str">
        <f>IFERROR(Inv_SY!J231/Inv_SY!$Y231-1,"")</f>
        <v/>
      </c>
      <c r="K229" s="55" t="str">
        <f>IFERROR(Inv_SY!K231/Inv_SY!$Y231-1,"")</f>
        <v/>
      </c>
      <c r="L229" s="55" t="str">
        <f>IFERROR(Inv_SY!L231/Inv_SY!$Y231-1,"")</f>
        <v/>
      </c>
      <c r="M229" s="55" t="str">
        <f>IFERROR(Inv_SY!M231/Inv_SY!$Y231-1,"")</f>
        <v/>
      </c>
      <c r="N229" s="55" t="str">
        <f>IFERROR(Inv_SY!N231/Inv_SY!$Y231-1,"")</f>
        <v/>
      </c>
      <c r="O229" s="55" t="str">
        <f>IFERROR(Inv_SY!O231/Inv_SY!$Y231-1,"")</f>
        <v/>
      </c>
      <c r="P229" s="55" t="str">
        <f>IFERROR(Inv_SY!P231/Inv_SY!$Y231-1,"")</f>
        <v/>
      </c>
      <c r="Q229" s="55" t="str">
        <f>IFERROR(Inv_SY!Q231/Inv_SY!$Y231-1,"")</f>
        <v/>
      </c>
      <c r="R229" s="55" t="str">
        <f>IFERROR(Inv_SY!R231/Inv_SY!$Y231-1,"")</f>
        <v/>
      </c>
      <c r="S229" s="55" t="str">
        <f>IFERROR(Inv_SY!S231/Inv_SY!$Y231-1,"")</f>
        <v/>
      </c>
      <c r="T229" s="55" t="str">
        <f>IFERROR(Inv_SY!T231/Inv_SY!$Y231-1,"")</f>
        <v/>
      </c>
      <c r="U229" s="55" t="str">
        <f>IFERROR(Inv_SY!U231/Inv_SY!$Y231-1,"")</f>
        <v/>
      </c>
      <c r="V229" s="55" t="str">
        <f>IFERROR(Inv_SY!J231/Inv_SY!$Z231-1,"")</f>
        <v/>
      </c>
      <c r="W229" s="55" t="str">
        <f>IFERROR(Inv_SY!K231/Inv_SY!$Z231-1,"")</f>
        <v/>
      </c>
      <c r="X229" s="55" t="str">
        <f>IFERROR(Inv_SY!L231/Inv_SY!$Z231-1,"")</f>
        <v/>
      </c>
      <c r="Y229" s="55" t="str">
        <f>IFERROR(Inv_SY!M231/Inv_SY!$Z231-1,"")</f>
        <v/>
      </c>
      <c r="Z229" s="55" t="str">
        <f>IFERROR(Inv_SY!N231/Inv_SY!$Z231-1,"")</f>
        <v/>
      </c>
      <c r="AA229" s="55" t="str">
        <f>IFERROR(Inv_SY!O231/Inv_SY!$Z231-1,"")</f>
        <v/>
      </c>
      <c r="AB229" s="55" t="str">
        <f>IFERROR(Inv_SY!P231/Inv_SY!$Z231-1,"")</f>
        <v/>
      </c>
      <c r="AC229" s="55" t="str">
        <f>IFERROR(Inv_SY!Q231/Inv_SY!$Z231-1,"")</f>
        <v/>
      </c>
      <c r="AD229" s="55" t="str">
        <f>IFERROR(Inv_SY!R231/Inv_SY!$Z231-1,"")</f>
        <v/>
      </c>
      <c r="AE229" s="55" t="str">
        <f>IFERROR(Inv_SY!S231/Inv_SY!$Z231-1,"")</f>
        <v/>
      </c>
      <c r="AF229" s="55" t="str">
        <f>IFERROR(Inv_SY!T231/Inv_SY!$Z231-1,"")</f>
        <v/>
      </c>
      <c r="AG229" s="55" t="str">
        <f>IFERROR(Inv_SY!U231/Inv_SY!$Z231-1,"")</f>
        <v/>
      </c>
      <c r="AH229" s="55" t="str">
        <f>IFERROR(Inv_SY!V231/Inv_SY!$Y231-1,"")</f>
        <v/>
      </c>
      <c r="AI229" s="55" t="str">
        <f>IFERROR(Inv_SY!W231/Inv_SY!$Y231-1,"")</f>
        <v/>
      </c>
      <c r="AJ229" s="55" t="str">
        <f>IFERROR(Inv_SY!X231/Inv_SY!$Y231-1,"")</f>
        <v/>
      </c>
      <c r="AK229" s="55" t="str">
        <f>IFERROR(Inv_SY!V231/Inv_SY!$Z231-1,"")</f>
        <v/>
      </c>
      <c r="AL229" s="55" t="str">
        <f>IFERROR(Inv_SY!W231/Inv_SY!$Z231-1,"")</f>
        <v/>
      </c>
      <c r="AM229" s="55" t="str">
        <f>IFERROR(Inv_SY!X231/Inv_SY!$Z231-1,"")</f>
        <v/>
      </c>
    </row>
    <row r="230" spans="1:39" x14ac:dyDescent="0.3">
      <c r="A230" s="273">
        <f>YEAR(Table5[[#This Row],[Date]])+IF(MONTH(Table5[[#This Row],[Date]])&gt;=4,1,0)</f>
        <v>2026</v>
      </c>
      <c r="B230" s="273"/>
      <c r="C230" s="273">
        <f>YEAR(Table5[[#This Row],[Date]])</f>
        <v>2025</v>
      </c>
      <c r="D230" s="273"/>
      <c r="E230" s="273"/>
      <c r="F230" s="274" t="str">
        <f>TEXT(Table5[[#This Row],[Date]],"mmm-yy")</f>
        <v>Nov-25</v>
      </c>
      <c r="G230" s="273">
        <f t="shared" si="9"/>
        <v>30</v>
      </c>
      <c r="H230" s="275">
        <f t="shared" si="10"/>
        <v>45973</v>
      </c>
      <c r="I230" s="273">
        <v>8.02</v>
      </c>
      <c r="J230" s="55" t="str">
        <f>IFERROR(Inv_SY!J232/Inv_SY!$Y232-1,"")</f>
        <v/>
      </c>
      <c r="K230" s="55" t="str">
        <f>IFERROR(Inv_SY!K232/Inv_SY!$Y232-1,"")</f>
        <v/>
      </c>
      <c r="L230" s="55" t="str">
        <f>IFERROR(Inv_SY!L232/Inv_SY!$Y232-1,"")</f>
        <v/>
      </c>
      <c r="M230" s="55" t="str">
        <f>IFERROR(Inv_SY!M232/Inv_SY!$Y232-1,"")</f>
        <v/>
      </c>
      <c r="N230" s="55" t="str">
        <f>IFERROR(Inv_SY!N232/Inv_SY!$Y232-1,"")</f>
        <v/>
      </c>
      <c r="O230" s="55" t="str">
        <f>IFERROR(Inv_SY!O232/Inv_SY!$Y232-1,"")</f>
        <v/>
      </c>
      <c r="P230" s="55" t="str">
        <f>IFERROR(Inv_SY!P232/Inv_SY!$Y232-1,"")</f>
        <v/>
      </c>
      <c r="Q230" s="55" t="str">
        <f>IFERROR(Inv_SY!Q232/Inv_SY!$Y232-1,"")</f>
        <v/>
      </c>
      <c r="R230" s="55" t="str">
        <f>IFERROR(Inv_SY!R232/Inv_SY!$Y232-1,"")</f>
        <v/>
      </c>
      <c r="S230" s="55" t="str">
        <f>IFERROR(Inv_SY!S232/Inv_SY!$Y232-1,"")</f>
        <v/>
      </c>
      <c r="T230" s="55" t="str">
        <f>IFERROR(Inv_SY!T232/Inv_SY!$Y232-1,"")</f>
        <v/>
      </c>
      <c r="U230" s="55" t="str">
        <f>IFERROR(Inv_SY!U232/Inv_SY!$Y232-1,"")</f>
        <v/>
      </c>
      <c r="V230" s="55" t="str">
        <f>IFERROR(Inv_SY!J232/Inv_SY!$Z232-1,"")</f>
        <v/>
      </c>
      <c r="W230" s="55" t="str">
        <f>IFERROR(Inv_SY!K232/Inv_SY!$Z232-1,"")</f>
        <v/>
      </c>
      <c r="X230" s="55" t="str">
        <f>IFERROR(Inv_SY!L232/Inv_SY!$Z232-1,"")</f>
        <v/>
      </c>
      <c r="Y230" s="55" t="str">
        <f>IFERROR(Inv_SY!M232/Inv_SY!$Z232-1,"")</f>
        <v/>
      </c>
      <c r="Z230" s="55" t="str">
        <f>IFERROR(Inv_SY!N232/Inv_SY!$Z232-1,"")</f>
        <v/>
      </c>
      <c r="AA230" s="55" t="str">
        <f>IFERROR(Inv_SY!O232/Inv_SY!$Z232-1,"")</f>
        <v/>
      </c>
      <c r="AB230" s="55" t="str">
        <f>IFERROR(Inv_SY!P232/Inv_SY!$Z232-1,"")</f>
        <v/>
      </c>
      <c r="AC230" s="55" t="str">
        <f>IFERROR(Inv_SY!Q232/Inv_SY!$Z232-1,"")</f>
        <v/>
      </c>
      <c r="AD230" s="55" t="str">
        <f>IFERROR(Inv_SY!R232/Inv_SY!$Z232-1,"")</f>
        <v/>
      </c>
      <c r="AE230" s="55" t="str">
        <f>IFERROR(Inv_SY!S232/Inv_SY!$Z232-1,"")</f>
        <v/>
      </c>
      <c r="AF230" s="55" t="str">
        <f>IFERROR(Inv_SY!T232/Inv_SY!$Z232-1,"")</f>
        <v/>
      </c>
      <c r="AG230" s="55" t="str">
        <f>IFERROR(Inv_SY!U232/Inv_SY!$Z232-1,"")</f>
        <v/>
      </c>
      <c r="AH230" s="55" t="str">
        <f>IFERROR(Inv_SY!V232/Inv_SY!$Y232-1,"")</f>
        <v/>
      </c>
      <c r="AI230" s="55" t="str">
        <f>IFERROR(Inv_SY!W232/Inv_SY!$Y232-1,"")</f>
        <v/>
      </c>
      <c r="AJ230" s="55" t="str">
        <f>IFERROR(Inv_SY!X232/Inv_SY!$Y232-1,"")</f>
        <v/>
      </c>
      <c r="AK230" s="55" t="str">
        <f>IFERROR(Inv_SY!V232/Inv_SY!$Z232-1,"")</f>
        <v/>
      </c>
      <c r="AL230" s="55" t="str">
        <f>IFERROR(Inv_SY!W232/Inv_SY!$Z232-1,"")</f>
        <v/>
      </c>
      <c r="AM230" s="55" t="str">
        <f>IFERROR(Inv_SY!X232/Inv_SY!$Z232-1,"")</f>
        <v/>
      </c>
    </row>
    <row r="231" spans="1:39" x14ac:dyDescent="0.3">
      <c r="A231" s="273">
        <f>YEAR(Table5[[#This Row],[Date]])+IF(MONTH(Table5[[#This Row],[Date]])&gt;=4,1,0)</f>
        <v>2026</v>
      </c>
      <c r="B231" s="273"/>
      <c r="C231" s="273">
        <f>YEAR(Table5[[#This Row],[Date]])</f>
        <v>2025</v>
      </c>
      <c r="D231" s="273"/>
      <c r="E231" s="273"/>
      <c r="F231" s="274" t="str">
        <f>TEXT(Table5[[#This Row],[Date]],"mmm-yy")</f>
        <v>Nov-25</v>
      </c>
      <c r="G231" s="273">
        <f t="shared" si="9"/>
        <v>30</v>
      </c>
      <c r="H231" s="275">
        <f t="shared" si="10"/>
        <v>45974</v>
      </c>
      <c r="I231" s="273">
        <v>8.02</v>
      </c>
      <c r="J231" s="55" t="str">
        <f>IFERROR(Inv_SY!J233/Inv_SY!$Y233-1,"")</f>
        <v/>
      </c>
      <c r="K231" s="55" t="str">
        <f>IFERROR(Inv_SY!K233/Inv_SY!$Y233-1,"")</f>
        <v/>
      </c>
      <c r="L231" s="55" t="str">
        <f>IFERROR(Inv_SY!L233/Inv_SY!$Y233-1,"")</f>
        <v/>
      </c>
      <c r="M231" s="55" t="str">
        <f>IFERROR(Inv_SY!M233/Inv_SY!$Y233-1,"")</f>
        <v/>
      </c>
      <c r="N231" s="55" t="str">
        <f>IFERROR(Inv_SY!N233/Inv_SY!$Y233-1,"")</f>
        <v/>
      </c>
      <c r="O231" s="55" t="str">
        <f>IFERROR(Inv_SY!O233/Inv_SY!$Y233-1,"")</f>
        <v/>
      </c>
      <c r="P231" s="55" t="str">
        <f>IFERROR(Inv_SY!P233/Inv_SY!$Y233-1,"")</f>
        <v/>
      </c>
      <c r="Q231" s="55" t="str">
        <f>IFERROR(Inv_SY!Q233/Inv_SY!$Y233-1,"")</f>
        <v/>
      </c>
      <c r="R231" s="55" t="str">
        <f>IFERROR(Inv_SY!R233/Inv_SY!$Y233-1,"")</f>
        <v/>
      </c>
      <c r="S231" s="55" t="str">
        <f>IFERROR(Inv_SY!S233/Inv_SY!$Y233-1,"")</f>
        <v/>
      </c>
      <c r="T231" s="55" t="str">
        <f>IFERROR(Inv_SY!T233/Inv_SY!$Y233-1,"")</f>
        <v/>
      </c>
      <c r="U231" s="55" t="str">
        <f>IFERROR(Inv_SY!U233/Inv_SY!$Y233-1,"")</f>
        <v/>
      </c>
      <c r="V231" s="55" t="str">
        <f>IFERROR(Inv_SY!J233/Inv_SY!$Z233-1,"")</f>
        <v/>
      </c>
      <c r="W231" s="55" t="str">
        <f>IFERROR(Inv_SY!K233/Inv_SY!$Z233-1,"")</f>
        <v/>
      </c>
      <c r="X231" s="55" t="str">
        <f>IFERROR(Inv_SY!L233/Inv_SY!$Z233-1,"")</f>
        <v/>
      </c>
      <c r="Y231" s="55" t="str">
        <f>IFERROR(Inv_SY!M233/Inv_SY!$Z233-1,"")</f>
        <v/>
      </c>
      <c r="Z231" s="55" t="str">
        <f>IFERROR(Inv_SY!N233/Inv_SY!$Z233-1,"")</f>
        <v/>
      </c>
      <c r="AA231" s="55" t="str">
        <f>IFERROR(Inv_SY!O233/Inv_SY!$Z233-1,"")</f>
        <v/>
      </c>
      <c r="AB231" s="55" t="str">
        <f>IFERROR(Inv_SY!P233/Inv_SY!$Z233-1,"")</f>
        <v/>
      </c>
      <c r="AC231" s="55" t="str">
        <f>IFERROR(Inv_SY!Q233/Inv_SY!$Z233-1,"")</f>
        <v/>
      </c>
      <c r="AD231" s="55" t="str">
        <f>IFERROR(Inv_SY!R233/Inv_SY!$Z233-1,"")</f>
        <v/>
      </c>
      <c r="AE231" s="55" t="str">
        <f>IFERROR(Inv_SY!S233/Inv_SY!$Z233-1,"")</f>
        <v/>
      </c>
      <c r="AF231" s="55" t="str">
        <f>IFERROR(Inv_SY!T233/Inv_SY!$Z233-1,"")</f>
        <v/>
      </c>
      <c r="AG231" s="55" t="str">
        <f>IFERROR(Inv_SY!U233/Inv_SY!$Z233-1,"")</f>
        <v/>
      </c>
      <c r="AH231" s="55" t="str">
        <f>IFERROR(Inv_SY!V233/Inv_SY!$Y233-1,"")</f>
        <v/>
      </c>
      <c r="AI231" s="55" t="str">
        <f>IFERROR(Inv_SY!W233/Inv_SY!$Y233-1,"")</f>
        <v/>
      </c>
      <c r="AJ231" s="55" t="str">
        <f>IFERROR(Inv_SY!X233/Inv_SY!$Y233-1,"")</f>
        <v/>
      </c>
      <c r="AK231" s="55" t="str">
        <f>IFERROR(Inv_SY!V233/Inv_SY!$Z233-1,"")</f>
        <v/>
      </c>
      <c r="AL231" s="55" t="str">
        <f>IFERROR(Inv_SY!W233/Inv_SY!$Z233-1,"")</f>
        <v/>
      </c>
      <c r="AM231" s="55" t="str">
        <f>IFERROR(Inv_SY!X233/Inv_SY!$Z233-1,"")</f>
        <v/>
      </c>
    </row>
    <row r="232" spans="1:39" x14ac:dyDescent="0.3">
      <c r="A232" s="273">
        <f>YEAR(Table5[[#This Row],[Date]])+IF(MONTH(Table5[[#This Row],[Date]])&gt;=4,1,0)</f>
        <v>2026</v>
      </c>
      <c r="B232" s="273"/>
      <c r="C232" s="273">
        <f>YEAR(Table5[[#This Row],[Date]])</f>
        <v>2025</v>
      </c>
      <c r="D232" s="273"/>
      <c r="E232" s="273"/>
      <c r="F232" s="274" t="str">
        <f>TEXT(Table5[[#This Row],[Date]],"mmm-yy")</f>
        <v>Nov-25</v>
      </c>
      <c r="G232" s="273">
        <f t="shared" si="9"/>
        <v>30</v>
      </c>
      <c r="H232" s="275">
        <f t="shared" si="10"/>
        <v>45975</v>
      </c>
      <c r="I232" s="273">
        <v>8.02</v>
      </c>
      <c r="J232" s="55" t="str">
        <f>IFERROR(Inv_SY!J234/Inv_SY!$Y234-1,"")</f>
        <v/>
      </c>
      <c r="K232" s="55" t="str">
        <f>IFERROR(Inv_SY!K234/Inv_SY!$Y234-1,"")</f>
        <v/>
      </c>
      <c r="L232" s="55" t="str">
        <f>IFERROR(Inv_SY!L234/Inv_SY!$Y234-1,"")</f>
        <v/>
      </c>
      <c r="M232" s="55" t="str">
        <f>IFERROR(Inv_SY!M234/Inv_SY!$Y234-1,"")</f>
        <v/>
      </c>
      <c r="N232" s="55" t="str">
        <f>IFERROR(Inv_SY!N234/Inv_SY!$Y234-1,"")</f>
        <v/>
      </c>
      <c r="O232" s="55" t="str">
        <f>IFERROR(Inv_SY!O234/Inv_SY!$Y234-1,"")</f>
        <v/>
      </c>
      <c r="P232" s="55" t="str">
        <f>IFERROR(Inv_SY!P234/Inv_SY!$Y234-1,"")</f>
        <v/>
      </c>
      <c r="Q232" s="55" t="str">
        <f>IFERROR(Inv_SY!Q234/Inv_SY!$Y234-1,"")</f>
        <v/>
      </c>
      <c r="R232" s="55" t="str">
        <f>IFERROR(Inv_SY!R234/Inv_SY!$Y234-1,"")</f>
        <v/>
      </c>
      <c r="S232" s="55" t="str">
        <f>IFERROR(Inv_SY!S234/Inv_SY!$Y234-1,"")</f>
        <v/>
      </c>
      <c r="T232" s="55" t="str">
        <f>IFERROR(Inv_SY!T234/Inv_SY!$Y234-1,"")</f>
        <v/>
      </c>
      <c r="U232" s="55" t="str">
        <f>IFERROR(Inv_SY!U234/Inv_SY!$Y234-1,"")</f>
        <v/>
      </c>
      <c r="V232" s="55" t="str">
        <f>IFERROR(Inv_SY!J234/Inv_SY!$Z234-1,"")</f>
        <v/>
      </c>
      <c r="W232" s="55" t="str">
        <f>IFERROR(Inv_SY!K234/Inv_SY!$Z234-1,"")</f>
        <v/>
      </c>
      <c r="X232" s="55" t="str">
        <f>IFERROR(Inv_SY!L234/Inv_SY!$Z234-1,"")</f>
        <v/>
      </c>
      <c r="Y232" s="55" t="str">
        <f>IFERROR(Inv_SY!M234/Inv_SY!$Z234-1,"")</f>
        <v/>
      </c>
      <c r="Z232" s="55" t="str">
        <f>IFERROR(Inv_SY!N234/Inv_SY!$Z234-1,"")</f>
        <v/>
      </c>
      <c r="AA232" s="55" t="str">
        <f>IFERROR(Inv_SY!O234/Inv_SY!$Z234-1,"")</f>
        <v/>
      </c>
      <c r="AB232" s="55" t="str">
        <f>IFERROR(Inv_SY!P234/Inv_SY!$Z234-1,"")</f>
        <v/>
      </c>
      <c r="AC232" s="55" t="str">
        <f>IFERROR(Inv_SY!Q234/Inv_SY!$Z234-1,"")</f>
        <v/>
      </c>
      <c r="AD232" s="55" t="str">
        <f>IFERROR(Inv_SY!R234/Inv_SY!$Z234-1,"")</f>
        <v/>
      </c>
      <c r="AE232" s="55" t="str">
        <f>IFERROR(Inv_SY!S234/Inv_SY!$Z234-1,"")</f>
        <v/>
      </c>
      <c r="AF232" s="55" t="str">
        <f>IFERROR(Inv_SY!T234/Inv_SY!$Z234-1,"")</f>
        <v/>
      </c>
      <c r="AG232" s="55" t="str">
        <f>IFERROR(Inv_SY!U234/Inv_SY!$Z234-1,"")</f>
        <v/>
      </c>
      <c r="AH232" s="55" t="str">
        <f>IFERROR(Inv_SY!V234/Inv_SY!$Y234-1,"")</f>
        <v/>
      </c>
      <c r="AI232" s="55" t="str">
        <f>IFERROR(Inv_SY!W234/Inv_SY!$Y234-1,"")</f>
        <v/>
      </c>
      <c r="AJ232" s="55" t="str">
        <f>IFERROR(Inv_SY!X234/Inv_SY!$Y234-1,"")</f>
        <v/>
      </c>
      <c r="AK232" s="55" t="str">
        <f>IFERROR(Inv_SY!V234/Inv_SY!$Z234-1,"")</f>
        <v/>
      </c>
      <c r="AL232" s="55" t="str">
        <f>IFERROR(Inv_SY!W234/Inv_SY!$Z234-1,"")</f>
        <v/>
      </c>
      <c r="AM232" s="55" t="str">
        <f>IFERROR(Inv_SY!X234/Inv_SY!$Z234-1,"")</f>
        <v/>
      </c>
    </row>
    <row r="233" spans="1:39" x14ac:dyDescent="0.3">
      <c r="A233" s="273">
        <f>YEAR(Table5[[#This Row],[Date]])+IF(MONTH(Table5[[#This Row],[Date]])&gt;=4,1,0)</f>
        <v>2026</v>
      </c>
      <c r="B233" s="273"/>
      <c r="C233" s="273">
        <f>YEAR(Table5[[#This Row],[Date]])</f>
        <v>2025</v>
      </c>
      <c r="D233" s="273"/>
      <c r="E233" s="273"/>
      <c r="F233" s="274" t="str">
        <f>TEXT(Table5[[#This Row],[Date]],"mmm-yy")</f>
        <v>Nov-25</v>
      </c>
      <c r="G233" s="273">
        <f t="shared" si="9"/>
        <v>30</v>
      </c>
      <c r="H233" s="275">
        <f t="shared" si="10"/>
        <v>45976</v>
      </c>
      <c r="I233" s="273">
        <v>8.02</v>
      </c>
      <c r="J233" s="55" t="str">
        <f>IFERROR(Inv_SY!J235/Inv_SY!$Y235-1,"")</f>
        <v/>
      </c>
      <c r="K233" s="55" t="str">
        <f>IFERROR(Inv_SY!K235/Inv_SY!$Y235-1,"")</f>
        <v/>
      </c>
      <c r="L233" s="55" t="str">
        <f>IFERROR(Inv_SY!L235/Inv_SY!$Y235-1,"")</f>
        <v/>
      </c>
      <c r="M233" s="55" t="str">
        <f>IFERROR(Inv_SY!M235/Inv_SY!$Y235-1,"")</f>
        <v/>
      </c>
      <c r="N233" s="55" t="str">
        <f>IFERROR(Inv_SY!N235/Inv_SY!$Y235-1,"")</f>
        <v/>
      </c>
      <c r="O233" s="55" t="str">
        <f>IFERROR(Inv_SY!O235/Inv_SY!$Y235-1,"")</f>
        <v/>
      </c>
      <c r="P233" s="55" t="str">
        <f>IFERROR(Inv_SY!P235/Inv_SY!$Y235-1,"")</f>
        <v/>
      </c>
      <c r="Q233" s="55" t="str">
        <f>IFERROR(Inv_SY!Q235/Inv_SY!$Y235-1,"")</f>
        <v/>
      </c>
      <c r="R233" s="55" t="str">
        <f>IFERROR(Inv_SY!R235/Inv_SY!$Y235-1,"")</f>
        <v/>
      </c>
      <c r="S233" s="55" t="str">
        <f>IFERROR(Inv_SY!S235/Inv_SY!$Y235-1,"")</f>
        <v/>
      </c>
      <c r="T233" s="55" t="str">
        <f>IFERROR(Inv_SY!T235/Inv_SY!$Y235-1,"")</f>
        <v/>
      </c>
      <c r="U233" s="55" t="str">
        <f>IFERROR(Inv_SY!U235/Inv_SY!$Y235-1,"")</f>
        <v/>
      </c>
      <c r="V233" s="55" t="str">
        <f>IFERROR(Inv_SY!J235/Inv_SY!$Z235-1,"")</f>
        <v/>
      </c>
      <c r="W233" s="55" t="str">
        <f>IFERROR(Inv_SY!K235/Inv_SY!$Z235-1,"")</f>
        <v/>
      </c>
      <c r="X233" s="55" t="str">
        <f>IFERROR(Inv_SY!L235/Inv_SY!$Z235-1,"")</f>
        <v/>
      </c>
      <c r="Y233" s="55" t="str">
        <f>IFERROR(Inv_SY!M235/Inv_SY!$Z235-1,"")</f>
        <v/>
      </c>
      <c r="Z233" s="55" t="str">
        <f>IFERROR(Inv_SY!N235/Inv_SY!$Z235-1,"")</f>
        <v/>
      </c>
      <c r="AA233" s="55" t="str">
        <f>IFERROR(Inv_SY!O235/Inv_SY!$Z235-1,"")</f>
        <v/>
      </c>
      <c r="AB233" s="55" t="str">
        <f>IFERROR(Inv_SY!P235/Inv_SY!$Z235-1,"")</f>
        <v/>
      </c>
      <c r="AC233" s="55" t="str">
        <f>IFERROR(Inv_SY!Q235/Inv_SY!$Z235-1,"")</f>
        <v/>
      </c>
      <c r="AD233" s="55" t="str">
        <f>IFERROR(Inv_SY!R235/Inv_SY!$Z235-1,"")</f>
        <v/>
      </c>
      <c r="AE233" s="55" t="str">
        <f>IFERROR(Inv_SY!S235/Inv_SY!$Z235-1,"")</f>
        <v/>
      </c>
      <c r="AF233" s="55" t="str">
        <f>IFERROR(Inv_SY!T235/Inv_SY!$Z235-1,"")</f>
        <v/>
      </c>
      <c r="AG233" s="55" t="str">
        <f>IFERROR(Inv_SY!U235/Inv_SY!$Z235-1,"")</f>
        <v/>
      </c>
      <c r="AH233" s="55" t="str">
        <f>IFERROR(Inv_SY!V235/Inv_SY!$Y235-1,"")</f>
        <v/>
      </c>
      <c r="AI233" s="55" t="str">
        <f>IFERROR(Inv_SY!W235/Inv_SY!$Y235-1,"")</f>
        <v/>
      </c>
      <c r="AJ233" s="55" t="str">
        <f>IFERROR(Inv_SY!X235/Inv_SY!$Y235-1,"")</f>
        <v/>
      </c>
      <c r="AK233" s="55" t="str">
        <f>IFERROR(Inv_SY!V235/Inv_SY!$Z235-1,"")</f>
        <v/>
      </c>
      <c r="AL233" s="55" t="str">
        <f>IFERROR(Inv_SY!W235/Inv_SY!$Z235-1,"")</f>
        <v/>
      </c>
      <c r="AM233" s="55" t="str">
        <f>IFERROR(Inv_SY!X235/Inv_SY!$Z235-1,"")</f>
        <v/>
      </c>
    </row>
    <row r="234" spans="1:39" x14ac:dyDescent="0.3">
      <c r="A234" s="273">
        <f>YEAR(Table5[[#This Row],[Date]])+IF(MONTH(Table5[[#This Row],[Date]])&gt;=4,1,0)</f>
        <v>2026</v>
      </c>
      <c r="B234" s="273"/>
      <c r="C234" s="273">
        <f>YEAR(Table5[[#This Row],[Date]])</f>
        <v>2025</v>
      </c>
      <c r="D234" s="273"/>
      <c r="E234" s="273"/>
      <c r="F234" s="274" t="str">
        <f>TEXT(Table5[[#This Row],[Date]],"mmm-yy")</f>
        <v>Nov-25</v>
      </c>
      <c r="G234" s="273">
        <f t="shared" si="9"/>
        <v>30</v>
      </c>
      <c r="H234" s="275">
        <f t="shared" si="10"/>
        <v>45977</v>
      </c>
      <c r="I234" s="273">
        <v>8.02</v>
      </c>
      <c r="J234" s="55" t="str">
        <f>IFERROR(Inv_SY!J236/Inv_SY!$Y236-1,"")</f>
        <v/>
      </c>
      <c r="K234" s="55" t="str">
        <f>IFERROR(Inv_SY!K236/Inv_SY!$Y236-1,"")</f>
        <v/>
      </c>
      <c r="L234" s="55" t="str">
        <f>IFERROR(Inv_SY!L236/Inv_SY!$Y236-1,"")</f>
        <v/>
      </c>
      <c r="M234" s="55" t="str">
        <f>IFERROR(Inv_SY!M236/Inv_SY!$Y236-1,"")</f>
        <v/>
      </c>
      <c r="N234" s="55" t="str">
        <f>IFERROR(Inv_SY!N236/Inv_SY!$Y236-1,"")</f>
        <v/>
      </c>
      <c r="O234" s="55" t="str">
        <f>IFERROR(Inv_SY!O236/Inv_SY!$Y236-1,"")</f>
        <v/>
      </c>
      <c r="P234" s="55" t="str">
        <f>IFERROR(Inv_SY!P236/Inv_SY!$Y236-1,"")</f>
        <v/>
      </c>
      <c r="Q234" s="55" t="str">
        <f>IFERROR(Inv_SY!Q236/Inv_SY!$Y236-1,"")</f>
        <v/>
      </c>
      <c r="R234" s="55" t="str">
        <f>IFERROR(Inv_SY!R236/Inv_SY!$Y236-1,"")</f>
        <v/>
      </c>
      <c r="S234" s="55" t="str">
        <f>IFERROR(Inv_SY!S236/Inv_SY!$Y236-1,"")</f>
        <v/>
      </c>
      <c r="T234" s="55" t="str">
        <f>IFERROR(Inv_SY!T236/Inv_SY!$Y236-1,"")</f>
        <v/>
      </c>
      <c r="U234" s="55" t="str">
        <f>IFERROR(Inv_SY!U236/Inv_SY!$Y236-1,"")</f>
        <v/>
      </c>
      <c r="V234" s="55" t="str">
        <f>IFERROR(Inv_SY!J236/Inv_SY!$Z236-1,"")</f>
        <v/>
      </c>
      <c r="W234" s="55" t="str">
        <f>IFERROR(Inv_SY!K236/Inv_SY!$Z236-1,"")</f>
        <v/>
      </c>
      <c r="X234" s="55" t="str">
        <f>IFERROR(Inv_SY!L236/Inv_SY!$Z236-1,"")</f>
        <v/>
      </c>
      <c r="Y234" s="55" t="str">
        <f>IFERROR(Inv_SY!M236/Inv_SY!$Z236-1,"")</f>
        <v/>
      </c>
      <c r="Z234" s="55" t="str">
        <f>IFERROR(Inv_SY!N236/Inv_SY!$Z236-1,"")</f>
        <v/>
      </c>
      <c r="AA234" s="55" t="str">
        <f>IFERROR(Inv_SY!O236/Inv_SY!$Z236-1,"")</f>
        <v/>
      </c>
      <c r="AB234" s="55" t="str">
        <f>IFERROR(Inv_SY!P236/Inv_SY!$Z236-1,"")</f>
        <v/>
      </c>
      <c r="AC234" s="55" t="str">
        <f>IFERROR(Inv_SY!Q236/Inv_SY!$Z236-1,"")</f>
        <v/>
      </c>
      <c r="AD234" s="55" t="str">
        <f>IFERROR(Inv_SY!R236/Inv_SY!$Z236-1,"")</f>
        <v/>
      </c>
      <c r="AE234" s="55" t="str">
        <f>IFERROR(Inv_SY!S236/Inv_SY!$Z236-1,"")</f>
        <v/>
      </c>
      <c r="AF234" s="55" t="str">
        <f>IFERROR(Inv_SY!T236/Inv_SY!$Z236-1,"")</f>
        <v/>
      </c>
      <c r="AG234" s="55" t="str">
        <f>IFERROR(Inv_SY!U236/Inv_SY!$Z236-1,"")</f>
        <v/>
      </c>
      <c r="AH234" s="55" t="str">
        <f>IFERROR(Inv_SY!V236/Inv_SY!$Y236-1,"")</f>
        <v/>
      </c>
      <c r="AI234" s="55" t="str">
        <f>IFERROR(Inv_SY!W236/Inv_SY!$Y236-1,"")</f>
        <v/>
      </c>
      <c r="AJ234" s="55" t="str">
        <f>IFERROR(Inv_SY!X236/Inv_SY!$Y236-1,"")</f>
        <v/>
      </c>
      <c r="AK234" s="55" t="str">
        <f>IFERROR(Inv_SY!V236/Inv_SY!$Z236-1,"")</f>
        <v/>
      </c>
      <c r="AL234" s="55" t="str">
        <f>IFERROR(Inv_SY!W236/Inv_SY!$Z236-1,"")</f>
        <v/>
      </c>
      <c r="AM234" s="55" t="str">
        <f>IFERROR(Inv_SY!X236/Inv_SY!$Z236-1,"")</f>
        <v/>
      </c>
    </row>
    <row r="235" spans="1:39" x14ac:dyDescent="0.3">
      <c r="A235" s="273">
        <f>YEAR(Table5[[#This Row],[Date]])+IF(MONTH(Table5[[#This Row],[Date]])&gt;=4,1,0)</f>
        <v>2026</v>
      </c>
      <c r="B235" s="273"/>
      <c r="C235" s="273">
        <f>YEAR(Table5[[#This Row],[Date]])</f>
        <v>2025</v>
      </c>
      <c r="D235" s="273"/>
      <c r="E235" s="273"/>
      <c r="F235" s="274" t="str">
        <f>TEXT(Table5[[#This Row],[Date]],"mmm-yy")</f>
        <v>Nov-25</v>
      </c>
      <c r="G235" s="273">
        <f t="shared" si="9"/>
        <v>30</v>
      </c>
      <c r="H235" s="275">
        <f t="shared" si="10"/>
        <v>45978</v>
      </c>
      <c r="I235" s="273">
        <v>8.02</v>
      </c>
      <c r="J235" s="55" t="str">
        <f>IFERROR(Inv_SY!J237/Inv_SY!$Y237-1,"")</f>
        <v/>
      </c>
      <c r="K235" s="55" t="str">
        <f>IFERROR(Inv_SY!K237/Inv_SY!$Y237-1,"")</f>
        <v/>
      </c>
      <c r="L235" s="55" t="str">
        <f>IFERROR(Inv_SY!L237/Inv_SY!$Y237-1,"")</f>
        <v/>
      </c>
      <c r="M235" s="55" t="str">
        <f>IFERROR(Inv_SY!M237/Inv_SY!$Y237-1,"")</f>
        <v/>
      </c>
      <c r="N235" s="55" t="str">
        <f>IFERROR(Inv_SY!N237/Inv_SY!$Y237-1,"")</f>
        <v/>
      </c>
      <c r="O235" s="55" t="str">
        <f>IFERROR(Inv_SY!O237/Inv_SY!$Y237-1,"")</f>
        <v/>
      </c>
      <c r="P235" s="55" t="str">
        <f>IFERROR(Inv_SY!P237/Inv_SY!$Y237-1,"")</f>
        <v/>
      </c>
      <c r="Q235" s="55" t="str">
        <f>IFERROR(Inv_SY!Q237/Inv_SY!$Y237-1,"")</f>
        <v/>
      </c>
      <c r="R235" s="55" t="str">
        <f>IFERROR(Inv_SY!R237/Inv_SY!$Y237-1,"")</f>
        <v/>
      </c>
      <c r="S235" s="55" t="str">
        <f>IFERROR(Inv_SY!S237/Inv_SY!$Y237-1,"")</f>
        <v/>
      </c>
      <c r="T235" s="55" t="str">
        <f>IFERROR(Inv_SY!T237/Inv_SY!$Y237-1,"")</f>
        <v/>
      </c>
      <c r="U235" s="55" t="str">
        <f>IFERROR(Inv_SY!U237/Inv_SY!$Y237-1,"")</f>
        <v/>
      </c>
      <c r="V235" s="55" t="str">
        <f>IFERROR(Inv_SY!J237/Inv_SY!$Z237-1,"")</f>
        <v/>
      </c>
      <c r="W235" s="55" t="str">
        <f>IFERROR(Inv_SY!K237/Inv_SY!$Z237-1,"")</f>
        <v/>
      </c>
      <c r="X235" s="55" t="str">
        <f>IFERROR(Inv_SY!L237/Inv_SY!$Z237-1,"")</f>
        <v/>
      </c>
      <c r="Y235" s="55" t="str">
        <f>IFERROR(Inv_SY!M237/Inv_SY!$Z237-1,"")</f>
        <v/>
      </c>
      <c r="Z235" s="55" t="str">
        <f>IFERROR(Inv_SY!N237/Inv_SY!$Z237-1,"")</f>
        <v/>
      </c>
      <c r="AA235" s="55" t="str">
        <f>IFERROR(Inv_SY!O237/Inv_SY!$Z237-1,"")</f>
        <v/>
      </c>
      <c r="AB235" s="55" t="str">
        <f>IFERROR(Inv_SY!P237/Inv_SY!$Z237-1,"")</f>
        <v/>
      </c>
      <c r="AC235" s="55" t="str">
        <f>IFERROR(Inv_SY!Q237/Inv_SY!$Z237-1,"")</f>
        <v/>
      </c>
      <c r="AD235" s="55" t="str">
        <f>IFERROR(Inv_SY!R237/Inv_SY!$Z237-1,"")</f>
        <v/>
      </c>
      <c r="AE235" s="55" t="str">
        <f>IFERROR(Inv_SY!S237/Inv_SY!$Z237-1,"")</f>
        <v/>
      </c>
      <c r="AF235" s="55" t="str">
        <f>IFERROR(Inv_SY!T237/Inv_SY!$Z237-1,"")</f>
        <v/>
      </c>
      <c r="AG235" s="55" t="str">
        <f>IFERROR(Inv_SY!U237/Inv_SY!$Z237-1,"")</f>
        <v/>
      </c>
      <c r="AH235" s="55" t="str">
        <f>IFERROR(Inv_SY!V237/Inv_SY!$Y237-1,"")</f>
        <v/>
      </c>
      <c r="AI235" s="55" t="str">
        <f>IFERROR(Inv_SY!W237/Inv_SY!$Y237-1,"")</f>
        <v/>
      </c>
      <c r="AJ235" s="55" t="str">
        <f>IFERROR(Inv_SY!X237/Inv_SY!$Y237-1,"")</f>
        <v/>
      </c>
      <c r="AK235" s="55" t="str">
        <f>IFERROR(Inv_SY!V237/Inv_SY!$Z237-1,"")</f>
        <v/>
      </c>
      <c r="AL235" s="55" t="str">
        <f>IFERROR(Inv_SY!W237/Inv_SY!$Z237-1,"")</f>
        <v/>
      </c>
      <c r="AM235" s="55" t="str">
        <f>IFERROR(Inv_SY!X237/Inv_SY!$Z237-1,"")</f>
        <v/>
      </c>
    </row>
    <row r="236" spans="1:39" x14ac:dyDescent="0.3">
      <c r="A236" s="273">
        <f>YEAR(Table5[[#This Row],[Date]])+IF(MONTH(Table5[[#This Row],[Date]])&gt;=4,1,0)</f>
        <v>2026</v>
      </c>
      <c r="B236" s="273"/>
      <c r="C236" s="273">
        <f>YEAR(Table5[[#This Row],[Date]])</f>
        <v>2025</v>
      </c>
      <c r="D236" s="273"/>
      <c r="E236" s="273"/>
      <c r="F236" s="274" t="str">
        <f>TEXT(Table5[[#This Row],[Date]],"mmm-yy")</f>
        <v>Nov-25</v>
      </c>
      <c r="G236" s="273">
        <f t="shared" si="9"/>
        <v>30</v>
      </c>
      <c r="H236" s="275">
        <f t="shared" si="10"/>
        <v>45979</v>
      </c>
      <c r="I236" s="273">
        <v>8.02</v>
      </c>
      <c r="J236" s="55" t="str">
        <f>IFERROR(Inv_SY!J238/Inv_SY!$Y238-1,"")</f>
        <v/>
      </c>
      <c r="K236" s="55" t="str">
        <f>IFERROR(Inv_SY!K238/Inv_SY!$Y238-1,"")</f>
        <v/>
      </c>
      <c r="L236" s="55" t="str">
        <f>IFERROR(Inv_SY!L238/Inv_SY!$Y238-1,"")</f>
        <v/>
      </c>
      <c r="M236" s="55" t="str">
        <f>IFERROR(Inv_SY!M238/Inv_SY!$Y238-1,"")</f>
        <v/>
      </c>
      <c r="N236" s="55" t="str">
        <f>IFERROR(Inv_SY!N238/Inv_SY!$Y238-1,"")</f>
        <v/>
      </c>
      <c r="O236" s="55" t="str">
        <f>IFERROR(Inv_SY!O238/Inv_SY!$Y238-1,"")</f>
        <v/>
      </c>
      <c r="P236" s="55" t="str">
        <f>IFERROR(Inv_SY!P238/Inv_SY!$Y238-1,"")</f>
        <v/>
      </c>
      <c r="Q236" s="55" t="str">
        <f>IFERROR(Inv_SY!Q238/Inv_SY!$Y238-1,"")</f>
        <v/>
      </c>
      <c r="R236" s="55" t="str">
        <f>IFERROR(Inv_SY!R238/Inv_SY!$Y238-1,"")</f>
        <v/>
      </c>
      <c r="S236" s="55" t="str">
        <f>IFERROR(Inv_SY!S238/Inv_SY!$Y238-1,"")</f>
        <v/>
      </c>
      <c r="T236" s="55" t="str">
        <f>IFERROR(Inv_SY!T238/Inv_SY!$Y238-1,"")</f>
        <v/>
      </c>
      <c r="U236" s="55" t="str">
        <f>IFERROR(Inv_SY!U238/Inv_SY!$Y238-1,"")</f>
        <v/>
      </c>
      <c r="V236" s="55" t="str">
        <f>IFERROR(Inv_SY!J238/Inv_SY!$Z238-1,"")</f>
        <v/>
      </c>
      <c r="W236" s="55" t="str">
        <f>IFERROR(Inv_SY!K238/Inv_SY!$Z238-1,"")</f>
        <v/>
      </c>
      <c r="X236" s="55" t="str">
        <f>IFERROR(Inv_SY!L238/Inv_SY!$Z238-1,"")</f>
        <v/>
      </c>
      <c r="Y236" s="55" t="str">
        <f>IFERROR(Inv_SY!M238/Inv_SY!$Z238-1,"")</f>
        <v/>
      </c>
      <c r="Z236" s="55" t="str">
        <f>IFERROR(Inv_SY!N238/Inv_SY!$Z238-1,"")</f>
        <v/>
      </c>
      <c r="AA236" s="55" t="str">
        <f>IFERROR(Inv_SY!O238/Inv_SY!$Z238-1,"")</f>
        <v/>
      </c>
      <c r="AB236" s="55" t="str">
        <f>IFERROR(Inv_SY!P238/Inv_SY!$Z238-1,"")</f>
        <v/>
      </c>
      <c r="AC236" s="55" t="str">
        <f>IFERROR(Inv_SY!Q238/Inv_SY!$Z238-1,"")</f>
        <v/>
      </c>
      <c r="AD236" s="55" t="str">
        <f>IFERROR(Inv_SY!R238/Inv_SY!$Z238-1,"")</f>
        <v/>
      </c>
      <c r="AE236" s="55" t="str">
        <f>IFERROR(Inv_SY!S238/Inv_SY!$Z238-1,"")</f>
        <v/>
      </c>
      <c r="AF236" s="55" t="str">
        <f>IFERROR(Inv_SY!T238/Inv_SY!$Z238-1,"")</f>
        <v/>
      </c>
      <c r="AG236" s="55" t="str">
        <f>IFERROR(Inv_SY!U238/Inv_SY!$Z238-1,"")</f>
        <v/>
      </c>
      <c r="AH236" s="55" t="str">
        <f>IFERROR(Inv_SY!V238/Inv_SY!$Y238-1,"")</f>
        <v/>
      </c>
      <c r="AI236" s="55" t="str">
        <f>IFERROR(Inv_SY!W238/Inv_SY!$Y238-1,"")</f>
        <v/>
      </c>
      <c r="AJ236" s="55" t="str">
        <f>IFERROR(Inv_SY!X238/Inv_SY!$Y238-1,"")</f>
        <v/>
      </c>
      <c r="AK236" s="55" t="str">
        <f>IFERROR(Inv_SY!V238/Inv_SY!$Z238-1,"")</f>
        <v/>
      </c>
      <c r="AL236" s="55" t="str">
        <f>IFERROR(Inv_SY!W238/Inv_SY!$Z238-1,"")</f>
        <v/>
      </c>
      <c r="AM236" s="55" t="str">
        <f>IFERROR(Inv_SY!X238/Inv_SY!$Z238-1,"")</f>
        <v/>
      </c>
    </row>
    <row r="237" spans="1:39" x14ac:dyDescent="0.3">
      <c r="A237" s="273">
        <f>YEAR(Table5[[#This Row],[Date]])+IF(MONTH(Table5[[#This Row],[Date]])&gt;=4,1,0)</f>
        <v>2026</v>
      </c>
      <c r="B237" s="273"/>
      <c r="C237" s="273">
        <f>YEAR(Table5[[#This Row],[Date]])</f>
        <v>2025</v>
      </c>
      <c r="D237" s="273"/>
      <c r="E237" s="273"/>
      <c r="F237" s="274" t="str">
        <f>TEXT(Table5[[#This Row],[Date]],"mmm-yy")</f>
        <v>Nov-25</v>
      </c>
      <c r="G237" s="273">
        <f t="shared" ref="G237:G300" si="11">DAY(EOMONTH(F237,0))</f>
        <v>30</v>
      </c>
      <c r="H237" s="275">
        <f t="shared" ref="H237:H258" si="12">H236+1</f>
        <v>45980</v>
      </c>
      <c r="I237" s="273">
        <v>8.02</v>
      </c>
      <c r="J237" s="55" t="str">
        <f>IFERROR(Inv_SY!J239/Inv_SY!$Y239-1,"")</f>
        <v/>
      </c>
      <c r="K237" s="55" t="str">
        <f>IFERROR(Inv_SY!K239/Inv_SY!$Y239-1,"")</f>
        <v/>
      </c>
      <c r="L237" s="55" t="str">
        <f>IFERROR(Inv_SY!L239/Inv_SY!$Y239-1,"")</f>
        <v/>
      </c>
      <c r="M237" s="55" t="str">
        <f>IFERROR(Inv_SY!M239/Inv_SY!$Y239-1,"")</f>
        <v/>
      </c>
      <c r="N237" s="55" t="str">
        <f>IFERROR(Inv_SY!N239/Inv_SY!$Y239-1,"")</f>
        <v/>
      </c>
      <c r="O237" s="55" t="str">
        <f>IFERROR(Inv_SY!O239/Inv_SY!$Y239-1,"")</f>
        <v/>
      </c>
      <c r="P237" s="55" t="str">
        <f>IFERROR(Inv_SY!P239/Inv_SY!$Y239-1,"")</f>
        <v/>
      </c>
      <c r="Q237" s="55" t="str">
        <f>IFERROR(Inv_SY!Q239/Inv_SY!$Y239-1,"")</f>
        <v/>
      </c>
      <c r="R237" s="55" t="str">
        <f>IFERROR(Inv_SY!R239/Inv_SY!$Y239-1,"")</f>
        <v/>
      </c>
      <c r="S237" s="55" t="str">
        <f>IFERROR(Inv_SY!S239/Inv_SY!$Y239-1,"")</f>
        <v/>
      </c>
      <c r="T237" s="55" t="str">
        <f>IFERROR(Inv_SY!T239/Inv_SY!$Y239-1,"")</f>
        <v/>
      </c>
      <c r="U237" s="55" t="str">
        <f>IFERROR(Inv_SY!U239/Inv_SY!$Y239-1,"")</f>
        <v/>
      </c>
      <c r="V237" s="55" t="str">
        <f>IFERROR(Inv_SY!J239/Inv_SY!$Z239-1,"")</f>
        <v/>
      </c>
      <c r="W237" s="55" t="str">
        <f>IFERROR(Inv_SY!K239/Inv_SY!$Z239-1,"")</f>
        <v/>
      </c>
      <c r="X237" s="55" t="str">
        <f>IFERROR(Inv_SY!L239/Inv_SY!$Z239-1,"")</f>
        <v/>
      </c>
      <c r="Y237" s="55" t="str">
        <f>IFERROR(Inv_SY!M239/Inv_SY!$Z239-1,"")</f>
        <v/>
      </c>
      <c r="Z237" s="55" t="str">
        <f>IFERROR(Inv_SY!N239/Inv_SY!$Z239-1,"")</f>
        <v/>
      </c>
      <c r="AA237" s="55" t="str">
        <f>IFERROR(Inv_SY!O239/Inv_SY!$Z239-1,"")</f>
        <v/>
      </c>
      <c r="AB237" s="55" t="str">
        <f>IFERROR(Inv_SY!P239/Inv_SY!$Z239-1,"")</f>
        <v/>
      </c>
      <c r="AC237" s="55" t="str">
        <f>IFERROR(Inv_SY!Q239/Inv_SY!$Z239-1,"")</f>
        <v/>
      </c>
      <c r="AD237" s="55" t="str">
        <f>IFERROR(Inv_SY!R239/Inv_SY!$Z239-1,"")</f>
        <v/>
      </c>
      <c r="AE237" s="55" t="str">
        <f>IFERROR(Inv_SY!S239/Inv_SY!$Z239-1,"")</f>
        <v/>
      </c>
      <c r="AF237" s="55" t="str">
        <f>IFERROR(Inv_SY!T239/Inv_SY!$Z239-1,"")</f>
        <v/>
      </c>
      <c r="AG237" s="55" t="str">
        <f>IFERROR(Inv_SY!U239/Inv_SY!$Z239-1,"")</f>
        <v/>
      </c>
      <c r="AH237" s="55" t="str">
        <f>IFERROR(Inv_SY!V239/Inv_SY!$Y239-1,"")</f>
        <v/>
      </c>
      <c r="AI237" s="55" t="str">
        <f>IFERROR(Inv_SY!W239/Inv_SY!$Y239-1,"")</f>
        <v/>
      </c>
      <c r="AJ237" s="55" t="str">
        <f>IFERROR(Inv_SY!X239/Inv_SY!$Y239-1,"")</f>
        <v/>
      </c>
      <c r="AK237" s="55" t="str">
        <f>IFERROR(Inv_SY!V239/Inv_SY!$Z239-1,"")</f>
        <v/>
      </c>
      <c r="AL237" s="55" t="str">
        <f>IFERROR(Inv_SY!W239/Inv_SY!$Z239-1,"")</f>
        <v/>
      </c>
      <c r="AM237" s="55" t="str">
        <f>IFERROR(Inv_SY!X239/Inv_SY!$Z239-1,"")</f>
        <v/>
      </c>
    </row>
    <row r="238" spans="1:39" x14ac:dyDescent="0.3">
      <c r="A238" s="273">
        <f>YEAR(Table5[[#This Row],[Date]])+IF(MONTH(Table5[[#This Row],[Date]])&gt;=4,1,0)</f>
        <v>2026</v>
      </c>
      <c r="B238" s="273"/>
      <c r="C238" s="273">
        <f>YEAR(Table5[[#This Row],[Date]])</f>
        <v>2025</v>
      </c>
      <c r="D238" s="273"/>
      <c r="E238" s="273"/>
      <c r="F238" s="274" t="str">
        <f>TEXT(Table5[[#This Row],[Date]],"mmm-yy")</f>
        <v>Nov-25</v>
      </c>
      <c r="G238" s="273">
        <f t="shared" si="11"/>
        <v>30</v>
      </c>
      <c r="H238" s="275">
        <f t="shared" si="12"/>
        <v>45981</v>
      </c>
      <c r="I238" s="273">
        <v>8.02</v>
      </c>
      <c r="J238" s="55" t="str">
        <f>IFERROR(Inv_SY!J240/Inv_SY!$Y240-1,"")</f>
        <v/>
      </c>
      <c r="K238" s="55" t="str">
        <f>IFERROR(Inv_SY!K240/Inv_SY!$Y240-1,"")</f>
        <v/>
      </c>
      <c r="L238" s="55" t="str">
        <f>IFERROR(Inv_SY!L240/Inv_SY!$Y240-1,"")</f>
        <v/>
      </c>
      <c r="M238" s="55" t="str">
        <f>IFERROR(Inv_SY!M240/Inv_SY!$Y240-1,"")</f>
        <v/>
      </c>
      <c r="N238" s="55" t="str">
        <f>IFERROR(Inv_SY!N240/Inv_SY!$Y240-1,"")</f>
        <v/>
      </c>
      <c r="O238" s="55" t="str">
        <f>IFERROR(Inv_SY!O240/Inv_SY!$Y240-1,"")</f>
        <v/>
      </c>
      <c r="P238" s="55" t="str">
        <f>IFERROR(Inv_SY!P240/Inv_SY!$Y240-1,"")</f>
        <v/>
      </c>
      <c r="Q238" s="55" t="str">
        <f>IFERROR(Inv_SY!Q240/Inv_SY!$Y240-1,"")</f>
        <v/>
      </c>
      <c r="R238" s="55" t="str">
        <f>IFERROR(Inv_SY!R240/Inv_SY!$Y240-1,"")</f>
        <v/>
      </c>
      <c r="S238" s="55" t="str">
        <f>IFERROR(Inv_SY!S240/Inv_SY!$Y240-1,"")</f>
        <v/>
      </c>
      <c r="T238" s="55" t="str">
        <f>IFERROR(Inv_SY!T240/Inv_SY!$Y240-1,"")</f>
        <v/>
      </c>
      <c r="U238" s="55" t="str">
        <f>IFERROR(Inv_SY!U240/Inv_SY!$Y240-1,"")</f>
        <v/>
      </c>
      <c r="V238" s="55" t="str">
        <f>IFERROR(Inv_SY!J240/Inv_SY!$Z240-1,"")</f>
        <v/>
      </c>
      <c r="W238" s="55" t="str">
        <f>IFERROR(Inv_SY!K240/Inv_SY!$Z240-1,"")</f>
        <v/>
      </c>
      <c r="X238" s="55" t="str">
        <f>IFERROR(Inv_SY!L240/Inv_SY!$Z240-1,"")</f>
        <v/>
      </c>
      <c r="Y238" s="55" t="str">
        <f>IFERROR(Inv_SY!M240/Inv_SY!$Z240-1,"")</f>
        <v/>
      </c>
      <c r="Z238" s="55" t="str">
        <f>IFERROR(Inv_SY!N240/Inv_SY!$Z240-1,"")</f>
        <v/>
      </c>
      <c r="AA238" s="55" t="str">
        <f>IFERROR(Inv_SY!O240/Inv_SY!$Z240-1,"")</f>
        <v/>
      </c>
      <c r="AB238" s="55" t="str">
        <f>IFERROR(Inv_SY!P240/Inv_SY!$Z240-1,"")</f>
        <v/>
      </c>
      <c r="AC238" s="55" t="str">
        <f>IFERROR(Inv_SY!Q240/Inv_SY!$Z240-1,"")</f>
        <v/>
      </c>
      <c r="AD238" s="55" t="str">
        <f>IFERROR(Inv_SY!R240/Inv_SY!$Z240-1,"")</f>
        <v/>
      </c>
      <c r="AE238" s="55" t="str">
        <f>IFERROR(Inv_SY!S240/Inv_SY!$Z240-1,"")</f>
        <v/>
      </c>
      <c r="AF238" s="55" t="str">
        <f>IFERROR(Inv_SY!T240/Inv_SY!$Z240-1,"")</f>
        <v/>
      </c>
      <c r="AG238" s="55" t="str">
        <f>IFERROR(Inv_SY!U240/Inv_SY!$Z240-1,"")</f>
        <v/>
      </c>
      <c r="AH238" s="55" t="str">
        <f>IFERROR(Inv_SY!V240/Inv_SY!$Y240-1,"")</f>
        <v/>
      </c>
      <c r="AI238" s="55" t="str">
        <f>IFERROR(Inv_SY!W240/Inv_SY!$Y240-1,"")</f>
        <v/>
      </c>
      <c r="AJ238" s="55" t="str">
        <f>IFERROR(Inv_SY!X240/Inv_SY!$Y240-1,"")</f>
        <v/>
      </c>
      <c r="AK238" s="55" t="str">
        <f>IFERROR(Inv_SY!V240/Inv_SY!$Z240-1,"")</f>
        <v/>
      </c>
      <c r="AL238" s="55" t="str">
        <f>IFERROR(Inv_SY!W240/Inv_SY!$Z240-1,"")</f>
        <v/>
      </c>
      <c r="AM238" s="55" t="str">
        <f>IFERROR(Inv_SY!X240/Inv_SY!$Z240-1,"")</f>
        <v/>
      </c>
    </row>
    <row r="239" spans="1:39" x14ac:dyDescent="0.3">
      <c r="A239" s="273">
        <f>YEAR(Table5[[#This Row],[Date]])+IF(MONTH(Table5[[#This Row],[Date]])&gt;=4,1,0)</f>
        <v>2026</v>
      </c>
      <c r="B239" s="273"/>
      <c r="C239" s="273">
        <f>YEAR(Table5[[#This Row],[Date]])</f>
        <v>2025</v>
      </c>
      <c r="D239" s="273"/>
      <c r="E239" s="273"/>
      <c r="F239" s="274" t="str">
        <f>TEXT(Table5[[#This Row],[Date]],"mmm-yy")</f>
        <v>Nov-25</v>
      </c>
      <c r="G239" s="273">
        <f t="shared" si="11"/>
        <v>30</v>
      </c>
      <c r="H239" s="275">
        <f t="shared" si="12"/>
        <v>45982</v>
      </c>
      <c r="I239" s="273">
        <v>8.02</v>
      </c>
      <c r="J239" s="55" t="str">
        <f>IFERROR(Inv_SY!J241/Inv_SY!$Y241-1,"")</f>
        <v/>
      </c>
      <c r="K239" s="55" t="str">
        <f>IFERROR(Inv_SY!K241/Inv_SY!$Y241-1,"")</f>
        <v/>
      </c>
      <c r="L239" s="55" t="str">
        <f>IFERROR(Inv_SY!L241/Inv_SY!$Y241-1,"")</f>
        <v/>
      </c>
      <c r="M239" s="55" t="str">
        <f>IFERROR(Inv_SY!M241/Inv_SY!$Y241-1,"")</f>
        <v/>
      </c>
      <c r="N239" s="55" t="str">
        <f>IFERROR(Inv_SY!N241/Inv_SY!$Y241-1,"")</f>
        <v/>
      </c>
      <c r="O239" s="55" t="str">
        <f>IFERROR(Inv_SY!O241/Inv_SY!$Y241-1,"")</f>
        <v/>
      </c>
      <c r="P239" s="55" t="str">
        <f>IFERROR(Inv_SY!P241/Inv_SY!$Y241-1,"")</f>
        <v/>
      </c>
      <c r="Q239" s="55" t="str">
        <f>IFERROR(Inv_SY!Q241/Inv_SY!$Y241-1,"")</f>
        <v/>
      </c>
      <c r="R239" s="55" t="str">
        <f>IFERROR(Inv_SY!R241/Inv_SY!$Y241-1,"")</f>
        <v/>
      </c>
      <c r="S239" s="55" t="str">
        <f>IFERROR(Inv_SY!S241/Inv_SY!$Y241-1,"")</f>
        <v/>
      </c>
      <c r="T239" s="55" t="str">
        <f>IFERROR(Inv_SY!T241/Inv_SY!$Y241-1,"")</f>
        <v/>
      </c>
      <c r="U239" s="55" t="str">
        <f>IFERROR(Inv_SY!U241/Inv_SY!$Y241-1,"")</f>
        <v/>
      </c>
      <c r="V239" s="55" t="str">
        <f>IFERROR(Inv_SY!J241/Inv_SY!$Z241-1,"")</f>
        <v/>
      </c>
      <c r="W239" s="55" t="str">
        <f>IFERROR(Inv_SY!K241/Inv_SY!$Z241-1,"")</f>
        <v/>
      </c>
      <c r="X239" s="55" t="str">
        <f>IFERROR(Inv_SY!L241/Inv_SY!$Z241-1,"")</f>
        <v/>
      </c>
      <c r="Y239" s="55" t="str">
        <f>IFERROR(Inv_SY!M241/Inv_SY!$Z241-1,"")</f>
        <v/>
      </c>
      <c r="Z239" s="55" t="str">
        <f>IFERROR(Inv_SY!N241/Inv_SY!$Z241-1,"")</f>
        <v/>
      </c>
      <c r="AA239" s="55" t="str">
        <f>IFERROR(Inv_SY!O241/Inv_SY!$Z241-1,"")</f>
        <v/>
      </c>
      <c r="AB239" s="55" t="str">
        <f>IFERROR(Inv_SY!P241/Inv_SY!$Z241-1,"")</f>
        <v/>
      </c>
      <c r="AC239" s="55" t="str">
        <f>IFERROR(Inv_SY!Q241/Inv_SY!$Z241-1,"")</f>
        <v/>
      </c>
      <c r="AD239" s="55" t="str">
        <f>IFERROR(Inv_SY!R241/Inv_SY!$Z241-1,"")</f>
        <v/>
      </c>
      <c r="AE239" s="55" t="str">
        <f>IFERROR(Inv_SY!S241/Inv_SY!$Z241-1,"")</f>
        <v/>
      </c>
      <c r="AF239" s="55" t="str">
        <f>IFERROR(Inv_SY!T241/Inv_SY!$Z241-1,"")</f>
        <v/>
      </c>
      <c r="AG239" s="55" t="str">
        <f>IFERROR(Inv_SY!U241/Inv_SY!$Z241-1,"")</f>
        <v/>
      </c>
      <c r="AH239" s="55" t="str">
        <f>IFERROR(Inv_SY!V241/Inv_SY!$Y241-1,"")</f>
        <v/>
      </c>
      <c r="AI239" s="55" t="str">
        <f>IFERROR(Inv_SY!W241/Inv_SY!$Y241-1,"")</f>
        <v/>
      </c>
      <c r="AJ239" s="55" t="str">
        <f>IFERROR(Inv_SY!X241/Inv_SY!$Y241-1,"")</f>
        <v/>
      </c>
      <c r="AK239" s="55" t="str">
        <f>IFERROR(Inv_SY!V241/Inv_SY!$Z241-1,"")</f>
        <v/>
      </c>
      <c r="AL239" s="55" t="str">
        <f>IFERROR(Inv_SY!W241/Inv_SY!$Z241-1,"")</f>
        <v/>
      </c>
      <c r="AM239" s="55" t="str">
        <f>IFERROR(Inv_SY!X241/Inv_SY!$Z241-1,"")</f>
        <v/>
      </c>
    </row>
    <row r="240" spans="1:39" x14ac:dyDescent="0.3">
      <c r="A240" s="273">
        <f>YEAR(Table5[[#This Row],[Date]])+IF(MONTH(Table5[[#This Row],[Date]])&gt;=4,1,0)</f>
        <v>2026</v>
      </c>
      <c r="B240" s="273"/>
      <c r="C240" s="273">
        <f>YEAR(Table5[[#This Row],[Date]])</f>
        <v>2025</v>
      </c>
      <c r="D240" s="273"/>
      <c r="E240" s="273"/>
      <c r="F240" s="274" t="str">
        <f>TEXT(Table5[[#This Row],[Date]],"mmm-yy")</f>
        <v>Nov-25</v>
      </c>
      <c r="G240" s="273">
        <f t="shared" si="11"/>
        <v>30</v>
      </c>
      <c r="H240" s="275">
        <f t="shared" si="12"/>
        <v>45983</v>
      </c>
      <c r="I240" s="273">
        <v>8.02</v>
      </c>
      <c r="J240" s="55" t="str">
        <f>IFERROR(Inv_SY!J242/Inv_SY!$Y242-1,"")</f>
        <v/>
      </c>
      <c r="K240" s="55" t="str">
        <f>IFERROR(Inv_SY!K242/Inv_SY!$Y242-1,"")</f>
        <v/>
      </c>
      <c r="L240" s="55" t="str">
        <f>IFERROR(Inv_SY!L242/Inv_SY!$Y242-1,"")</f>
        <v/>
      </c>
      <c r="M240" s="55" t="str">
        <f>IFERROR(Inv_SY!M242/Inv_SY!$Y242-1,"")</f>
        <v/>
      </c>
      <c r="N240" s="55" t="str">
        <f>IFERROR(Inv_SY!N242/Inv_SY!$Y242-1,"")</f>
        <v/>
      </c>
      <c r="O240" s="55" t="str">
        <f>IFERROR(Inv_SY!O242/Inv_SY!$Y242-1,"")</f>
        <v/>
      </c>
      <c r="P240" s="55" t="str">
        <f>IFERROR(Inv_SY!P242/Inv_SY!$Y242-1,"")</f>
        <v/>
      </c>
      <c r="Q240" s="55" t="str">
        <f>IFERROR(Inv_SY!Q242/Inv_SY!$Y242-1,"")</f>
        <v/>
      </c>
      <c r="R240" s="55" t="str">
        <f>IFERROR(Inv_SY!R242/Inv_SY!$Y242-1,"")</f>
        <v/>
      </c>
      <c r="S240" s="55" t="str">
        <f>IFERROR(Inv_SY!S242/Inv_SY!$Y242-1,"")</f>
        <v/>
      </c>
      <c r="T240" s="55" t="str">
        <f>IFERROR(Inv_SY!T242/Inv_SY!$Y242-1,"")</f>
        <v/>
      </c>
      <c r="U240" s="55" t="str">
        <f>IFERROR(Inv_SY!U242/Inv_SY!$Y242-1,"")</f>
        <v/>
      </c>
      <c r="V240" s="55" t="str">
        <f>IFERROR(Inv_SY!J242/Inv_SY!$Z242-1,"")</f>
        <v/>
      </c>
      <c r="W240" s="55" t="str">
        <f>IFERROR(Inv_SY!K242/Inv_SY!$Z242-1,"")</f>
        <v/>
      </c>
      <c r="X240" s="55" t="str">
        <f>IFERROR(Inv_SY!L242/Inv_SY!$Z242-1,"")</f>
        <v/>
      </c>
      <c r="Y240" s="55" t="str">
        <f>IFERROR(Inv_SY!M242/Inv_SY!$Z242-1,"")</f>
        <v/>
      </c>
      <c r="Z240" s="55" t="str">
        <f>IFERROR(Inv_SY!N242/Inv_SY!$Z242-1,"")</f>
        <v/>
      </c>
      <c r="AA240" s="55" t="str">
        <f>IFERROR(Inv_SY!O242/Inv_SY!$Z242-1,"")</f>
        <v/>
      </c>
      <c r="AB240" s="55" t="str">
        <f>IFERROR(Inv_SY!P242/Inv_SY!$Z242-1,"")</f>
        <v/>
      </c>
      <c r="AC240" s="55" t="str">
        <f>IFERROR(Inv_SY!Q242/Inv_SY!$Z242-1,"")</f>
        <v/>
      </c>
      <c r="AD240" s="55" t="str">
        <f>IFERROR(Inv_SY!R242/Inv_SY!$Z242-1,"")</f>
        <v/>
      </c>
      <c r="AE240" s="55" t="str">
        <f>IFERROR(Inv_SY!S242/Inv_SY!$Z242-1,"")</f>
        <v/>
      </c>
      <c r="AF240" s="55" t="str">
        <f>IFERROR(Inv_SY!T242/Inv_SY!$Z242-1,"")</f>
        <v/>
      </c>
      <c r="AG240" s="55" t="str">
        <f>IFERROR(Inv_SY!U242/Inv_SY!$Z242-1,"")</f>
        <v/>
      </c>
      <c r="AH240" s="55" t="str">
        <f>IFERROR(Inv_SY!V242/Inv_SY!$Y242-1,"")</f>
        <v/>
      </c>
      <c r="AI240" s="55" t="str">
        <f>IFERROR(Inv_SY!W242/Inv_SY!$Y242-1,"")</f>
        <v/>
      </c>
      <c r="AJ240" s="55" t="str">
        <f>IFERROR(Inv_SY!X242/Inv_SY!$Y242-1,"")</f>
        <v/>
      </c>
      <c r="AK240" s="55" t="str">
        <f>IFERROR(Inv_SY!V242/Inv_SY!$Z242-1,"")</f>
        <v/>
      </c>
      <c r="AL240" s="55" t="str">
        <f>IFERROR(Inv_SY!W242/Inv_SY!$Z242-1,"")</f>
        <v/>
      </c>
      <c r="AM240" s="55" t="str">
        <f>IFERROR(Inv_SY!X242/Inv_SY!$Z242-1,"")</f>
        <v/>
      </c>
    </row>
    <row r="241" spans="1:39" x14ac:dyDescent="0.3">
      <c r="A241" s="273">
        <f>YEAR(Table5[[#This Row],[Date]])+IF(MONTH(Table5[[#This Row],[Date]])&gt;=4,1,0)</f>
        <v>2026</v>
      </c>
      <c r="B241" s="273"/>
      <c r="C241" s="273">
        <f>YEAR(Table5[[#This Row],[Date]])</f>
        <v>2025</v>
      </c>
      <c r="D241" s="273"/>
      <c r="E241" s="273"/>
      <c r="F241" s="274" t="str">
        <f>TEXT(Table5[[#This Row],[Date]],"mmm-yy")</f>
        <v>Nov-25</v>
      </c>
      <c r="G241" s="273">
        <f t="shared" si="11"/>
        <v>30</v>
      </c>
      <c r="H241" s="275">
        <f t="shared" si="12"/>
        <v>45984</v>
      </c>
      <c r="I241" s="273">
        <v>8.02</v>
      </c>
      <c r="J241" s="55" t="str">
        <f>IFERROR(Inv_SY!J243/Inv_SY!$Y243-1,"")</f>
        <v/>
      </c>
      <c r="K241" s="55" t="str">
        <f>IFERROR(Inv_SY!K243/Inv_SY!$Y243-1,"")</f>
        <v/>
      </c>
      <c r="L241" s="55" t="str">
        <f>IFERROR(Inv_SY!L243/Inv_SY!$Y243-1,"")</f>
        <v/>
      </c>
      <c r="M241" s="55" t="str">
        <f>IFERROR(Inv_SY!M243/Inv_SY!$Y243-1,"")</f>
        <v/>
      </c>
      <c r="N241" s="55" t="str">
        <f>IFERROR(Inv_SY!N243/Inv_SY!$Y243-1,"")</f>
        <v/>
      </c>
      <c r="O241" s="55" t="str">
        <f>IFERROR(Inv_SY!O243/Inv_SY!$Y243-1,"")</f>
        <v/>
      </c>
      <c r="P241" s="55" t="str">
        <f>IFERROR(Inv_SY!P243/Inv_SY!$Y243-1,"")</f>
        <v/>
      </c>
      <c r="Q241" s="55" t="str">
        <f>IFERROR(Inv_SY!Q243/Inv_SY!$Y243-1,"")</f>
        <v/>
      </c>
      <c r="R241" s="55" t="str">
        <f>IFERROR(Inv_SY!R243/Inv_SY!$Y243-1,"")</f>
        <v/>
      </c>
      <c r="S241" s="55" t="str">
        <f>IFERROR(Inv_SY!S243/Inv_SY!$Y243-1,"")</f>
        <v/>
      </c>
      <c r="T241" s="55" t="str">
        <f>IFERROR(Inv_SY!T243/Inv_SY!$Y243-1,"")</f>
        <v/>
      </c>
      <c r="U241" s="55" t="str">
        <f>IFERROR(Inv_SY!U243/Inv_SY!$Y243-1,"")</f>
        <v/>
      </c>
      <c r="V241" s="55" t="str">
        <f>IFERROR(Inv_SY!J243/Inv_SY!$Z243-1,"")</f>
        <v/>
      </c>
      <c r="W241" s="55" t="str">
        <f>IFERROR(Inv_SY!K243/Inv_SY!$Z243-1,"")</f>
        <v/>
      </c>
      <c r="X241" s="55" t="str">
        <f>IFERROR(Inv_SY!L243/Inv_SY!$Z243-1,"")</f>
        <v/>
      </c>
      <c r="Y241" s="55" t="str">
        <f>IFERROR(Inv_SY!M243/Inv_SY!$Z243-1,"")</f>
        <v/>
      </c>
      <c r="Z241" s="55" t="str">
        <f>IFERROR(Inv_SY!N243/Inv_SY!$Z243-1,"")</f>
        <v/>
      </c>
      <c r="AA241" s="55" t="str">
        <f>IFERROR(Inv_SY!O243/Inv_SY!$Z243-1,"")</f>
        <v/>
      </c>
      <c r="AB241" s="55" t="str">
        <f>IFERROR(Inv_SY!P243/Inv_SY!$Z243-1,"")</f>
        <v/>
      </c>
      <c r="AC241" s="55" t="str">
        <f>IFERROR(Inv_SY!Q243/Inv_SY!$Z243-1,"")</f>
        <v/>
      </c>
      <c r="AD241" s="55" t="str">
        <f>IFERROR(Inv_SY!R243/Inv_SY!$Z243-1,"")</f>
        <v/>
      </c>
      <c r="AE241" s="55" t="str">
        <f>IFERROR(Inv_SY!S243/Inv_SY!$Z243-1,"")</f>
        <v/>
      </c>
      <c r="AF241" s="55" t="str">
        <f>IFERROR(Inv_SY!T243/Inv_SY!$Z243-1,"")</f>
        <v/>
      </c>
      <c r="AG241" s="55" t="str">
        <f>IFERROR(Inv_SY!U243/Inv_SY!$Z243-1,"")</f>
        <v/>
      </c>
      <c r="AH241" s="55" t="str">
        <f>IFERROR(Inv_SY!V243/Inv_SY!$Y243-1,"")</f>
        <v/>
      </c>
      <c r="AI241" s="55" t="str">
        <f>IFERROR(Inv_SY!W243/Inv_SY!$Y243-1,"")</f>
        <v/>
      </c>
      <c r="AJ241" s="55" t="str">
        <f>IFERROR(Inv_SY!X243/Inv_SY!$Y243-1,"")</f>
        <v/>
      </c>
      <c r="AK241" s="55" t="str">
        <f>IFERROR(Inv_SY!V243/Inv_SY!$Z243-1,"")</f>
        <v/>
      </c>
      <c r="AL241" s="55" t="str">
        <f>IFERROR(Inv_SY!W243/Inv_SY!$Z243-1,"")</f>
        <v/>
      </c>
      <c r="AM241" s="55" t="str">
        <f>IFERROR(Inv_SY!X243/Inv_SY!$Z243-1,"")</f>
        <v/>
      </c>
    </row>
    <row r="242" spans="1:39" x14ac:dyDescent="0.3">
      <c r="A242" s="273">
        <f>YEAR(Table5[[#This Row],[Date]])+IF(MONTH(Table5[[#This Row],[Date]])&gt;=4,1,0)</f>
        <v>2026</v>
      </c>
      <c r="B242" s="273"/>
      <c r="C242" s="273">
        <f>YEAR(Table5[[#This Row],[Date]])</f>
        <v>2025</v>
      </c>
      <c r="D242" s="273"/>
      <c r="E242" s="273"/>
      <c r="F242" s="274" t="str">
        <f>TEXT(Table5[[#This Row],[Date]],"mmm-yy")</f>
        <v>Nov-25</v>
      </c>
      <c r="G242" s="273">
        <f t="shared" si="11"/>
        <v>30</v>
      </c>
      <c r="H242" s="275">
        <f t="shared" si="12"/>
        <v>45985</v>
      </c>
      <c r="I242" s="273">
        <v>8.02</v>
      </c>
      <c r="J242" s="55" t="str">
        <f>IFERROR(Inv_SY!J244/Inv_SY!$Y244-1,"")</f>
        <v/>
      </c>
      <c r="K242" s="55" t="str">
        <f>IFERROR(Inv_SY!K244/Inv_SY!$Y244-1,"")</f>
        <v/>
      </c>
      <c r="L242" s="55" t="str">
        <f>IFERROR(Inv_SY!L244/Inv_SY!$Y244-1,"")</f>
        <v/>
      </c>
      <c r="M242" s="55" t="str">
        <f>IFERROR(Inv_SY!M244/Inv_SY!$Y244-1,"")</f>
        <v/>
      </c>
      <c r="N242" s="55" t="str">
        <f>IFERROR(Inv_SY!N244/Inv_SY!$Y244-1,"")</f>
        <v/>
      </c>
      <c r="O242" s="55" t="str">
        <f>IFERROR(Inv_SY!O244/Inv_SY!$Y244-1,"")</f>
        <v/>
      </c>
      <c r="P242" s="55" t="str">
        <f>IFERROR(Inv_SY!P244/Inv_SY!$Y244-1,"")</f>
        <v/>
      </c>
      <c r="Q242" s="55" t="str">
        <f>IFERROR(Inv_SY!Q244/Inv_SY!$Y244-1,"")</f>
        <v/>
      </c>
      <c r="R242" s="55" t="str">
        <f>IFERROR(Inv_SY!R244/Inv_SY!$Y244-1,"")</f>
        <v/>
      </c>
      <c r="S242" s="55" t="str">
        <f>IFERROR(Inv_SY!S244/Inv_SY!$Y244-1,"")</f>
        <v/>
      </c>
      <c r="T242" s="55" t="str">
        <f>IFERROR(Inv_SY!T244/Inv_SY!$Y244-1,"")</f>
        <v/>
      </c>
      <c r="U242" s="55" t="str">
        <f>IFERROR(Inv_SY!U244/Inv_SY!$Y244-1,"")</f>
        <v/>
      </c>
      <c r="V242" s="55" t="str">
        <f>IFERROR(Inv_SY!J244/Inv_SY!$Z244-1,"")</f>
        <v/>
      </c>
      <c r="W242" s="55" t="str">
        <f>IFERROR(Inv_SY!K244/Inv_SY!$Z244-1,"")</f>
        <v/>
      </c>
      <c r="X242" s="55" t="str">
        <f>IFERROR(Inv_SY!L244/Inv_SY!$Z244-1,"")</f>
        <v/>
      </c>
      <c r="Y242" s="55" t="str">
        <f>IFERROR(Inv_SY!M244/Inv_SY!$Z244-1,"")</f>
        <v/>
      </c>
      <c r="Z242" s="55" t="str">
        <f>IFERROR(Inv_SY!N244/Inv_SY!$Z244-1,"")</f>
        <v/>
      </c>
      <c r="AA242" s="55" t="str">
        <f>IFERROR(Inv_SY!O244/Inv_SY!$Z244-1,"")</f>
        <v/>
      </c>
      <c r="AB242" s="55" t="str">
        <f>IFERROR(Inv_SY!P244/Inv_SY!$Z244-1,"")</f>
        <v/>
      </c>
      <c r="AC242" s="55" t="str">
        <f>IFERROR(Inv_SY!Q244/Inv_SY!$Z244-1,"")</f>
        <v/>
      </c>
      <c r="AD242" s="55" t="str">
        <f>IFERROR(Inv_SY!R244/Inv_SY!$Z244-1,"")</f>
        <v/>
      </c>
      <c r="AE242" s="55" t="str">
        <f>IFERROR(Inv_SY!S244/Inv_SY!$Z244-1,"")</f>
        <v/>
      </c>
      <c r="AF242" s="55" t="str">
        <f>IFERROR(Inv_SY!T244/Inv_SY!$Z244-1,"")</f>
        <v/>
      </c>
      <c r="AG242" s="55" t="str">
        <f>IFERROR(Inv_SY!U244/Inv_SY!$Z244-1,"")</f>
        <v/>
      </c>
      <c r="AH242" s="55" t="str">
        <f>IFERROR(Inv_SY!V244/Inv_SY!$Y244-1,"")</f>
        <v/>
      </c>
      <c r="AI242" s="55" t="str">
        <f>IFERROR(Inv_SY!W244/Inv_SY!$Y244-1,"")</f>
        <v/>
      </c>
      <c r="AJ242" s="55" t="str">
        <f>IFERROR(Inv_SY!X244/Inv_SY!$Y244-1,"")</f>
        <v/>
      </c>
      <c r="AK242" s="55" t="str">
        <f>IFERROR(Inv_SY!V244/Inv_SY!$Z244-1,"")</f>
        <v/>
      </c>
      <c r="AL242" s="55" t="str">
        <f>IFERROR(Inv_SY!W244/Inv_SY!$Z244-1,"")</f>
        <v/>
      </c>
      <c r="AM242" s="55" t="str">
        <f>IFERROR(Inv_SY!X244/Inv_SY!$Z244-1,"")</f>
        <v/>
      </c>
    </row>
    <row r="243" spans="1:39" x14ac:dyDescent="0.3">
      <c r="A243" s="273">
        <f>YEAR(Table5[[#This Row],[Date]])+IF(MONTH(Table5[[#This Row],[Date]])&gt;=4,1,0)</f>
        <v>2026</v>
      </c>
      <c r="B243" s="273"/>
      <c r="C243" s="273">
        <f>YEAR(Table5[[#This Row],[Date]])</f>
        <v>2025</v>
      </c>
      <c r="D243" s="273"/>
      <c r="E243" s="273"/>
      <c r="F243" s="274" t="str">
        <f>TEXT(Table5[[#This Row],[Date]],"mmm-yy")</f>
        <v>Nov-25</v>
      </c>
      <c r="G243" s="273">
        <f t="shared" si="11"/>
        <v>30</v>
      </c>
      <c r="H243" s="275">
        <f t="shared" si="12"/>
        <v>45986</v>
      </c>
      <c r="I243" s="273">
        <v>8.02</v>
      </c>
      <c r="J243" s="55" t="str">
        <f>IFERROR(Inv_SY!J245/Inv_SY!$Y245-1,"")</f>
        <v/>
      </c>
      <c r="K243" s="55" t="str">
        <f>IFERROR(Inv_SY!K245/Inv_SY!$Y245-1,"")</f>
        <v/>
      </c>
      <c r="L243" s="55" t="str">
        <f>IFERROR(Inv_SY!L245/Inv_SY!$Y245-1,"")</f>
        <v/>
      </c>
      <c r="M243" s="55" t="str">
        <f>IFERROR(Inv_SY!M245/Inv_SY!$Y245-1,"")</f>
        <v/>
      </c>
      <c r="N243" s="55" t="str">
        <f>IFERROR(Inv_SY!N245/Inv_SY!$Y245-1,"")</f>
        <v/>
      </c>
      <c r="O243" s="55" t="str">
        <f>IFERROR(Inv_SY!O245/Inv_SY!$Y245-1,"")</f>
        <v/>
      </c>
      <c r="P243" s="55" t="str">
        <f>IFERROR(Inv_SY!P245/Inv_SY!$Y245-1,"")</f>
        <v/>
      </c>
      <c r="Q243" s="55" t="str">
        <f>IFERROR(Inv_SY!Q245/Inv_SY!$Y245-1,"")</f>
        <v/>
      </c>
      <c r="R243" s="55" t="str">
        <f>IFERROR(Inv_SY!R245/Inv_SY!$Y245-1,"")</f>
        <v/>
      </c>
      <c r="S243" s="55" t="str">
        <f>IFERROR(Inv_SY!S245/Inv_SY!$Y245-1,"")</f>
        <v/>
      </c>
      <c r="T243" s="55" t="str">
        <f>IFERROR(Inv_SY!T245/Inv_SY!$Y245-1,"")</f>
        <v/>
      </c>
      <c r="U243" s="55" t="str">
        <f>IFERROR(Inv_SY!U245/Inv_SY!$Y245-1,"")</f>
        <v/>
      </c>
      <c r="V243" s="55" t="str">
        <f>IFERROR(Inv_SY!J245/Inv_SY!$Z245-1,"")</f>
        <v/>
      </c>
      <c r="W243" s="55" t="str">
        <f>IFERROR(Inv_SY!K245/Inv_SY!$Z245-1,"")</f>
        <v/>
      </c>
      <c r="X243" s="55" t="str">
        <f>IFERROR(Inv_SY!L245/Inv_SY!$Z245-1,"")</f>
        <v/>
      </c>
      <c r="Y243" s="55" t="str">
        <f>IFERROR(Inv_SY!M245/Inv_SY!$Z245-1,"")</f>
        <v/>
      </c>
      <c r="Z243" s="55" t="str">
        <f>IFERROR(Inv_SY!N245/Inv_SY!$Z245-1,"")</f>
        <v/>
      </c>
      <c r="AA243" s="55" t="str">
        <f>IFERROR(Inv_SY!O245/Inv_SY!$Z245-1,"")</f>
        <v/>
      </c>
      <c r="AB243" s="55" t="str">
        <f>IFERROR(Inv_SY!P245/Inv_SY!$Z245-1,"")</f>
        <v/>
      </c>
      <c r="AC243" s="55" t="str">
        <f>IFERROR(Inv_SY!Q245/Inv_SY!$Z245-1,"")</f>
        <v/>
      </c>
      <c r="AD243" s="55" t="str">
        <f>IFERROR(Inv_SY!R245/Inv_SY!$Z245-1,"")</f>
        <v/>
      </c>
      <c r="AE243" s="55" t="str">
        <f>IFERROR(Inv_SY!S245/Inv_SY!$Z245-1,"")</f>
        <v/>
      </c>
      <c r="AF243" s="55" t="str">
        <f>IFERROR(Inv_SY!T245/Inv_SY!$Z245-1,"")</f>
        <v/>
      </c>
      <c r="AG243" s="55" t="str">
        <f>IFERROR(Inv_SY!U245/Inv_SY!$Z245-1,"")</f>
        <v/>
      </c>
      <c r="AH243" s="55" t="str">
        <f>IFERROR(Inv_SY!V245/Inv_SY!$Y245-1,"")</f>
        <v/>
      </c>
      <c r="AI243" s="55" t="str">
        <f>IFERROR(Inv_SY!W245/Inv_SY!$Y245-1,"")</f>
        <v/>
      </c>
      <c r="AJ243" s="55" t="str">
        <f>IFERROR(Inv_SY!X245/Inv_SY!$Y245-1,"")</f>
        <v/>
      </c>
      <c r="AK243" s="55" t="str">
        <f>IFERROR(Inv_SY!V245/Inv_SY!$Z245-1,"")</f>
        <v/>
      </c>
      <c r="AL243" s="55" t="str">
        <f>IFERROR(Inv_SY!W245/Inv_SY!$Z245-1,"")</f>
        <v/>
      </c>
      <c r="AM243" s="55" t="str">
        <f>IFERROR(Inv_SY!X245/Inv_SY!$Z245-1,"")</f>
        <v/>
      </c>
    </row>
    <row r="244" spans="1:39" x14ac:dyDescent="0.3">
      <c r="A244" s="273">
        <f>YEAR(Table5[[#This Row],[Date]])+IF(MONTH(Table5[[#This Row],[Date]])&gt;=4,1,0)</f>
        <v>2026</v>
      </c>
      <c r="B244" s="273"/>
      <c r="C244" s="273">
        <f>YEAR(Table5[[#This Row],[Date]])</f>
        <v>2025</v>
      </c>
      <c r="D244" s="273"/>
      <c r="E244" s="273"/>
      <c r="F244" s="274" t="str">
        <f>TEXT(Table5[[#This Row],[Date]],"mmm-yy")</f>
        <v>Nov-25</v>
      </c>
      <c r="G244" s="273">
        <f t="shared" si="11"/>
        <v>30</v>
      </c>
      <c r="H244" s="275">
        <f t="shared" si="12"/>
        <v>45987</v>
      </c>
      <c r="I244" s="273">
        <v>8.02</v>
      </c>
      <c r="J244" s="55" t="str">
        <f>IFERROR(Inv_SY!J246/Inv_SY!$Y246-1,"")</f>
        <v/>
      </c>
      <c r="K244" s="55" t="str">
        <f>IFERROR(Inv_SY!K246/Inv_SY!$Y246-1,"")</f>
        <v/>
      </c>
      <c r="L244" s="55" t="str">
        <f>IFERROR(Inv_SY!L246/Inv_SY!$Y246-1,"")</f>
        <v/>
      </c>
      <c r="M244" s="55" t="str">
        <f>IFERROR(Inv_SY!M246/Inv_SY!$Y246-1,"")</f>
        <v/>
      </c>
      <c r="N244" s="55" t="str">
        <f>IFERROR(Inv_SY!N246/Inv_SY!$Y246-1,"")</f>
        <v/>
      </c>
      <c r="O244" s="55" t="str">
        <f>IFERROR(Inv_SY!O246/Inv_SY!$Y246-1,"")</f>
        <v/>
      </c>
      <c r="P244" s="55" t="str">
        <f>IFERROR(Inv_SY!P246/Inv_SY!$Y246-1,"")</f>
        <v/>
      </c>
      <c r="Q244" s="55" t="str">
        <f>IFERROR(Inv_SY!Q246/Inv_SY!$Y246-1,"")</f>
        <v/>
      </c>
      <c r="R244" s="55" t="str">
        <f>IFERROR(Inv_SY!R246/Inv_SY!$Y246-1,"")</f>
        <v/>
      </c>
      <c r="S244" s="55" t="str">
        <f>IFERROR(Inv_SY!S246/Inv_SY!$Y246-1,"")</f>
        <v/>
      </c>
      <c r="T244" s="55" t="str">
        <f>IFERROR(Inv_SY!T246/Inv_SY!$Y246-1,"")</f>
        <v/>
      </c>
      <c r="U244" s="55" t="str">
        <f>IFERROR(Inv_SY!U246/Inv_SY!$Y246-1,"")</f>
        <v/>
      </c>
      <c r="V244" s="55" t="str">
        <f>IFERROR(Inv_SY!J246/Inv_SY!$Z246-1,"")</f>
        <v/>
      </c>
      <c r="W244" s="55" t="str">
        <f>IFERROR(Inv_SY!K246/Inv_SY!$Z246-1,"")</f>
        <v/>
      </c>
      <c r="X244" s="55" t="str">
        <f>IFERROR(Inv_SY!L246/Inv_SY!$Z246-1,"")</f>
        <v/>
      </c>
      <c r="Y244" s="55" t="str">
        <f>IFERROR(Inv_SY!M246/Inv_SY!$Z246-1,"")</f>
        <v/>
      </c>
      <c r="Z244" s="55" t="str">
        <f>IFERROR(Inv_SY!N246/Inv_SY!$Z246-1,"")</f>
        <v/>
      </c>
      <c r="AA244" s="55" t="str">
        <f>IFERROR(Inv_SY!O246/Inv_SY!$Z246-1,"")</f>
        <v/>
      </c>
      <c r="AB244" s="55" t="str">
        <f>IFERROR(Inv_SY!P246/Inv_SY!$Z246-1,"")</f>
        <v/>
      </c>
      <c r="AC244" s="55" t="str">
        <f>IFERROR(Inv_SY!Q246/Inv_SY!$Z246-1,"")</f>
        <v/>
      </c>
      <c r="AD244" s="55" t="str">
        <f>IFERROR(Inv_SY!R246/Inv_SY!$Z246-1,"")</f>
        <v/>
      </c>
      <c r="AE244" s="55" t="str">
        <f>IFERROR(Inv_SY!S246/Inv_SY!$Z246-1,"")</f>
        <v/>
      </c>
      <c r="AF244" s="55" t="str">
        <f>IFERROR(Inv_SY!T246/Inv_SY!$Z246-1,"")</f>
        <v/>
      </c>
      <c r="AG244" s="55" t="str">
        <f>IFERROR(Inv_SY!U246/Inv_SY!$Z246-1,"")</f>
        <v/>
      </c>
      <c r="AH244" s="55" t="str">
        <f>IFERROR(Inv_SY!V246/Inv_SY!$Y246-1,"")</f>
        <v/>
      </c>
      <c r="AI244" s="55" t="str">
        <f>IFERROR(Inv_SY!W246/Inv_SY!$Y246-1,"")</f>
        <v/>
      </c>
      <c r="AJ244" s="55" t="str">
        <f>IFERROR(Inv_SY!X246/Inv_SY!$Y246-1,"")</f>
        <v/>
      </c>
      <c r="AK244" s="55" t="str">
        <f>IFERROR(Inv_SY!V246/Inv_SY!$Z246-1,"")</f>
        <v/>
      </c>
      <c r="AL244" s="55" t="str">
        <f>IFERROR(Inv_SY!W246/Inv_SY!$Z246-1,"")</f>
        <v/>
      </c>
      <c r="AM244" s="55" t="str">
        <f>IFERROR(Inv_SY!X246/Inv_SY!$Z246-1,"")</f>
        <v/>
      </c>
    </row>
    <row r="245" spans="1:39" x14ac:dyDescent="0.3">
      <c r="A245" s="273">
        <f>YEAR(Table5[[#This Row],[Date]])+IF(MONTH(Table5[[#This Row],[Date]])&gt;=4,1,0)</f>
        <v>2026</v>
      </c>
      <c r="B245" s="273"/>
      <c r="C245" s="273">
        <f>YEAR(Table5[[#This Row],[Date]])</f>
        <v>2025</v>
      </c>
      <c r="D245" s="273"/>
      <c r="E245" s="273"/>
      <c r="F245" s="274" t="str">
        <f>TEXT(Table5[[#This Row],[Date]],"mmm-yy")</f>
        <v>Nov-25</v>
      </c>
      <c r="G245" s="273">
        <f t="shared" si="11"/>
        <v>30</v>
      </c>
      <c r="H245" s="275">
        <f t="shared" si="12"/>
        <v>45988</v>
      </c>
      <c r="I245" s="273">
        <v>8.02</v>
      </c>
      <c r="J245" s="55" t="str">
        <f>IFERROR(Inv_SY!J247/Inv_SY!$Y247-1,"")</f>
        <v/>
      </c>
      <c r="K245" s="55" t="str">
        <f>IFERROR(Inv_SY!K247/Inv_SY!$Y247-1,"")</f>
        <v/>
      </c>
      <c r="L245" s="55" t="str">
        <f>IFERROR(Inv_SY!L247/Inv_SY!$Y247-1,"")</f>
        <v/>
      </c>
      <c r="M245" s="55" t="str">
        <f>IFERROR(Inv_SY!M247/Inv_SY!$Y247-1,"")</f>
        <v/>
      </c>
      <c r="N245" s="55" t="str">
        <f>IFERROR(Inv_SY!N247/Inv_SY!$Y247-1,"")</f>
        <v/>
      </c>
      <c r="O245" s="55" t="str">
        <f>IFERROR(Inv_SY!O247/Inv_SY!$Y247-1,"")</f>
        <v/>
      </c>
      <c r="P245" s="55" t="str">
        <f>IFERROR(Inv_SY!P247/Inv_SY!$Y247-1,"")</f>
        <v/>
      </c>
      <c r="Q245" s="55" t="str">
        <f>IFERROR(Inv_SY!Q247/Inv_SY!$Y247-1,"")</f>
        <v/>
      </c>
      <c r="R245" s="55" t="str">
        <f>IFERROR(Inv_SY!R247/Inv_SY!$Y247-1,"")</f>
        <v/>
      </c>
      <c r="S245" s="55" t="str">
        <f>IFERROR(Inv_SY!S247/Inv_SY!$Y247-1,"")</f>
        <v/>
      </c>
      <c r="T245" s="55" t="str">
        <f>IFERROR(Inv_SY!T247/Inv_SY!$Y247-1,"")</f>
        <v/>
      </c>
      <c r="U245" s="55" t="str">
        <f>IFERROR(Inv_SY!U247/Inv_SY!$Y247-1,"")</f>
        <v/>
      </c>
      <c r="V245" s="55" t="str">
        <f>IFERROR(Inv_SY!J247/Inv_SY!$Z247-1,"")</f>
        <v/>
      </c>
      <c r="W245" s="55" t="str">
        <f>IFERROR(Inv_SY!K247/Inv_SY!$Z247-1,"")</f>
        <v/>
      </c>
      <c r="X245" s="55" t="str">
        <f>IFERROR(Inv_SY!L247/Inv_SY!$Z247-1,"")</f>
        <v/>
      </c>
      <c r="Y245" s="55" t="str">
        <f>IFERROR(Inv_SY!M247/Inv_SY!$Z247-1,"")</f>
        <v/>
      </c>
      <c r="Z245" s="55" t="str">
        <f>IFERROR(Inv_SY!N247/Inv_SY!$Z247-1,"")</f>
        <v/>
      </c>
      <c r="AA245" s="55" t="str">
        <f>IFERROR(Inv_SY!O247/Inv_SY!$Z247-1,"")</f>
        <v/>
      </c>
      <c r="AB245" s="55" t="str">
        <f>IFERROR(Inv_SY!P247/Inv_SY!$Z247-1,"")</f>
        <v/>
      </c>
      <c r="AC245" s="55" t="str">
        <f>IFERROR(Inv_SY!Q247/Inv_SY!$Z247-1,"")</f>
        <v/>
      </c>
      <c r="AD245" s="55" t="str">
        <f>IFERROR(Inv_SY!R247/Inv_SY!$Z247-1,"")</f>
        <v/>
      </c>
      <c r="AE245" s="55" t="str">
        <f>IFERROR(Inv_SY!S247/Inv_SY!$Z247-1,"")</f>
        <v/>
      </c>
      <c r="AF245" s="55" t="str">
        <f>IFERROR(Inv_SY!T247/Inv_SY!$Z247-1,"")</f>
        <v/>
      </c>
      <c r="AG245" s="55" t="str">
        <f>IFERROR(Inv_SY!U247/Inv_SY!$Z247-1,"")</f>
        <v/>
      </c>
      <c r="AH245" s="55" t="str">
        <f>IFERROR(Inv_SY!V247/Inv_SY!$Y247-1,"")</f>
        <v/>
      </c>
      <c r="AI245" s="55" t="str">
        <f>IFERROR(Inv_SY!W247/Inv_SY!$Y247-1,"")</f>
        <v/>
      </c>
      <c r="AJ245" s="55" t="str">
        <f>IFERROR(Inv_SY!X247/Inv_SY!$Y247-1,"")</f>
        <v/>
      </c>
      <c r="AK245" s="55" t="str">
        <f>IFERROR(Inv_SY!V247/Inv_SY!$Z247-1,"")</f>
        <v/>
      </c>
      <c r="AL245" s="55" t="str">
        <f>IFERROR(Inv_SY!W247/Inv_SY!$Z247-1,"")</f>
        <v/>
      </c>
      <c r="AM245" s="55" t="str">
        <f>IFERROR(Inv_SY!X247/Inv_SY!$Z247-1,"")</f>
        <v/>
      </c>
    </row>
    <row r="246" spans="1:39" x14ac:dyDescent="0.3">
      <c r="A246" s="273">
        <f>YEAR(Table5[[#This Row],[Date]])+IF(MONTH(Table5[[#This Row],[Date]])&gt;=4,1,0)</f>
        <v>2026</v>
      </c>
      <c r="B246" s="273"/>
      <c r="C246" s="273">
        <f>YEAR(Table5[[#This Row],[Date]])</f>
        <v>2025</v>
      </c>
      <c r="D246" s="273"/>
      <c r="E246" s="273"/>
      <c r="F246" s="274" t="str">
        <f>TEXT(Table5[[#This Row],[Date]],"mmm-yy")</f>
        <v>Nov-25</v>
      </c>
      <c r="G246" s="273">
        <f t="shared" si="11"/>
        <v>30</v>
      </c>
      <c r="H246" s="275">
        <f t="shared" si="12"/>
        <v>45989</v>
      </c>
      <c r="I246" s="273">
        <v>8.02</v>
      </c>
      <c r="J246" s="55" t="str">
        <f>IFERROR(Inv_SY!J248/Inv_SY!$Y248-1,"")</f>
        <v/>
      </c>
      <c r="K246" s="55" t="str">
        <f>IFERROR(Inv_SY!K248/Inv_SY!$Y248-1,"")</f>
        <v/>
      </c>
      <c r="L246" s="55" t="str">
        <f>IFERROR(Inv_SY!L248/Inv_SY!$Y248-1,"")</f>
        <v/>
      </c>
      <c r="M246" s="55" t="str">
        <f>IFERROR(Inv_SY!M248/Inv_SY!$Y248-1,"")</f>
        <v/>
      </c>
      <c r="N246" s="55" t="str">
        <f>IFERROR(Inv_SY!N248/Inv_SY!$Y248-1,"")</f>
        <v/>
      </c>
      <c r="O246" s="55" t="str">
        <f>IFERROR(Inv_SY!O248/Inv_SY!$Y248-1,"")</f>
        <v/>
      </c>
      <c r="P246" s="55" t="str">
        <f>IFERROR(Inv_SY!P248/Inv_SY!$Y248-1,"")</f>
        <v/>
      </c>
      <c r="Q246" s="55" t="str">
        <f>IFERROR(Inv_SY!Q248/Inv_SY!$Y248-1,"")</f>
        <v/>
      </c>
      <c r="R246" s="55" t="str">
        <f>IFERROR(Inv_SY!R248/Inv_SY!$Y248-1,"")</f>
        <v/>
      </c>
      <c r="S246" s="55" t="str">
        <f>IFERROR(Inv_SY!S248/Inv_SY!$Y248-1,"")</f>
        <v/>
      </c>
      <c r="T246" s="55" t="str">
        <f>IFERROR(Inv_SY!T248/Inv_SY!$Y248-1,"")</f>
        <v/>
      </c>
      <c r="U246" s="55" t="str">
        <f>IFERROR(Inv_SY!U248/Inv_SY!$Y248-1,"")</f>
        <v/>
      </c>
      <c r="V246" s="55" t="str">
        <f>IFERROR(Inv_SY!J248/Inv_SY!$Z248-1,"")</f>
        <v/>
      </c>
      <c r="W246" s="55" t="str">
        <f>IFERROR(Inv_SY!K248/Inv_SY!$Z248-1,"")</f>
        <v/>
      </c>
      <c r="X246" s="55" t="str">
        <f>IFERROR(Inv_SY!L248/Inv_SY!$Z248-1,"")</f>
        <v/>
      </c>
      <c r="Y246" s="55" t="str">
        <f>IFERROR(Inv_SY!M248/Inv_SY!$Z248-1,"")</f>
        <v/>
      </c>
      <c r="Z246" s="55" t="str">
        <f>IFERROR(Inv_SY!N248/Inv_SY!$Z248-1,"")</f>
        <v/>
      </c>
      <c r="AA246" s="55" t="str">
        <f>IFERROR(Inv_SY!O248/Inv_SY!$Z248-1,"")</f>
        <v/>
      </c>
      <c r="AB246" s="55" t="str">
        <f>IFERROR(Inv_SY!P248/Inv_SY!$Z248-1,"")</f>
        <v/>
      </c>
      <c r="AC246" s="55" t="str">
        <f>IFERROR(Inv_SY!Q248/Inv_SY!$Z248-1,"")</f>
        <v/>
      </c>
      <c r="AD246" s="55" t="str">
        <f>IFERROR(Inv_SY!R248/Inv_SY!$Z248-1,"")</f>
        <v/>
      </c>
      <c r="AE246" s="55" t="str">
        <f>IFERROR(Inv_SY!S248/Inv_SY!$Z248-1,"")</f>
        <v/>
      </c>
      <c r="AF246" s="55" t="str">
        <f>IFERROR(Inv_SY!T248/Inv_SY!$Z248-1,"")</f>
        <v/>
      </c>
      <c r="AG246" s="55" t="str">
        <f>IFERROR(Inv_SY!U248/Inv_SY!$Z248-1,"")</f>
        <v/>
      </c>
      <c r="AH246" s="55" t="str">
        <f>IFERROR(Inv_SY!V248/Inv_SY!$Y248-1,"")</f>
        <v/>
      </c>
      <c r="AI246" s="55" t="str">
        <f>IFERROR(Inv_SY!W248/Inv_SY!$Y248-1,"")</f>
        <v/>
      </c>
      <c r="AJ246" s="55" t="str">
        <f>IFERROR(Inv_SY!X248/Inv_SY!$Y248-1,"")</f>
        <v/>
      </c>
      <c r="AK246" s="55" t="str">
        <f>IFERROR(Inv_SY!V248/Inv_SY!$Z248-1,"")</f>
        <v/>
      </c>
      <c r="AL246" s="55" t="str">
        <f>IFERROR(Inv_SY!W248/Inv_SY!$Z248-1,"")</f>
        <v/>
      </c>
      <c r="AM246" s="55" t="str">
        <f>IFERROR(Inv_SY!X248/Inv_SY!$Z248-1,"")</f>
        <v/>
      </c>
    </row>
    <row r="247" spans="1:39" x14ac:dyDescent="0.3">
      <c r="A247" s="273">
        <f>YEAR(Table5[[#This Row],[Date]])+IF(MONTH(Table5[[#This Row],[Date]])&gt;=4,1,0)</f>
        <v>2026</v>
      </c>
      <c r="B247" s="273"/>
      <c r="C247" s="273">
        <f>YEAR(Table5[[#This Row],[Date]])</f>
        <v>2025</v>
      </c>
      <c r="D247" s="273"/>
      <c r="E247" s="273"/>
      <c r="F247" s="274" t="str">
        <f>TEXT(Table5[[#This Row],[Date]],"mmm-yy")</f>
        <v>Nov-25</v>
      </c>
      <c r="G247" s="273">
        <f t="shared" si="11"/>
        <v>30</v>
      </c>
      <c r="H247" s="275">
        <f t="shared" si="12"/>
        <v>45990</v>
      </c>
      <c r="I247" s="273">
        <v>8.02</v>
      </c>
      <c r="J247" s="55" t="str">
        <f>IFERROR(Inv_SY!J249/Inv_SY!$Y249-1,"")</f>
        <v/>
      </c>
      <c r="K247" s="55" t="str">
        <f>IFERROR(Inv_SY!K249/Inv_SY!$Y249-1,"")</f>
        <v/>
      </c>
      <c r="L247" s="55" t="str">
        <f>IFERROR(Inv_SY!L249/Inv_SY!$Y249-1,"")</f>
        <v/>
      </c>
      <c r="M247" s="55" t="str">
        <f>IFERROR(Inv_SY!M249/Inv_SY!$Y249-1,"")</f>
        <v/>
      </c>
      <c r="N247" s="55" t="str">
        <f>IFERROR(Inv_SY!N249/Inv_SY!$Y249-1,"")</f>
        <v/>
      </c>
      <c r="O247" s="55" t="str">
        <f>IFERROR(Inv_SY!O249/Inv_SY!$Y249-1,"")</f>
        <v/>
      </c>
      <c r="P247" s="55" t="str">
        <f>IFERROR(Inv_SY!P249/Inv_SY!$Y249-1,"")</f>
        <v/>
      </c>
      <c r="Q247" s="55" t="str">
        <f>IFERROR(Inv_SY!Q249/Inv_SY!$Y249-1,"")</f>
        <v/>
      </c>
      <c r="R247" s="55" t="str">
        <f>IFERROR(Inv_SY!R249/Inv_SY!$Y249-1,"")</f>
        <v/>
      </c>
      <c r="S247" s="55" t="str">
        <f>IFERROR(Inv_SY!S249/Inv_SY!$Y249-1,"")</f>
        <v/>
      </c>
      <c r="T247" s="55" t="str">
        <f>IFERROR(Inv_SY!T249/Inv_SY!$Y249-1,"")</f>
        <v/>
      </c>
      <c r="U247" s="55" t="str">
        <f>IFERROR(Inv_SY!U249/Inv_SY!$Y249-1,"")</f>
        <v/>
      </c>
      <c r="V247" s="55" t="str">
        <f>IFERROR(Inv_SY!J249/Inv_SY!$Z249-1,"")</f>
        <v/>
      </c>
      <c r="W247" s="55" t="str">
        <f>IFERROR(Inv_SY!K249/Inv_SY!$Z249-1,"")</f>
        <v/>
      </c>
      <c r="X247" s="55" t="str">
        <f>IFERROR(Inv_SY!L249/Inv_SY!$Z249-1,"")</f>
        <v/>
      </c>
      <c r="Y247" s="55" t="str">
        <f>IFERROR(Inv_SY!M249/Inv_SY!$Z249-1,"")</f>
        <v/>
      </c>
      <c r="Z247" s="55" t="str">
        <f>IFERROR(Inv_SY!N249/Inv_SY!$Z249-1,"")</f>
        <v/>
      </c>
      <c r="AA247" s="55" t="str">
        <f>IFERROR(Inv_SY!O249/Inv_SY!$Z249-1,"")</f>
        <v/>
      </c>
      <c r="AB247" s="55" t="str">
        <f>IFERROR(Inv_SY!P249/Inv_SY!$Z249-1,"")</f>
        <v/>
      </c>
      <c r="AC247" s="55" t="str">
        <f>IFERROR(Inv_SY!Q249/Inv_SY!$Z249-1,"")</f>
        <v/>
      </c>
      <c r="AD247" s="55" t="str">
        <f>IFERROR(Inv_SY!R249/Inv_SY!$Z249-1,"")</f>
        <v/>
      </c>
      <c r="AE247" s="55" t="str">
        <f>IFERROR(Inv_SY!S249/Inv_SY!$Z249-1,"")</f>
        <v/>
      </c>
      <c r="AF247" s="55" t="str">
        <f>IFERROR(Inv_SY!T249/Inv_SY!$Z249-1,"")</f>
        <v/>
      </c>
      <c r="AG247" s="55" t="str">
        <f>IFERROR(Inv_SY!U249/Inv_SY!$Z249-1,"")</f>
        <v/>
      </c>
      <c r="AH247" s="55" t="str">
        <f>IFERROR(Inv_SY!V249/Inv_SY!$Y249-1,"")</f>
        <v/>
      </c>
      <c r="AI247" s="55" t="str">
        <f>IFERROR(Inv_SY!W249/Inv_SY!$Y249-1,"")</f>
        <v/>
      </c>
      <c r="AJ247" s="55" t="str">
        <f>IFERROR(Inv_SY!X249/Inv_SY!$Y249-1,"")</f>
        <v/>
      </c>
      <c r="AK247" s="55" t="str">
        <f>IFERROR(Inv_SY!V249/Inv_SY!$Z249-1,"")</f>
        <v/>
      </c>
      <c r="AL247" s="55" t="str">
        <f>IFERROR(Inv_SY!W249/Inv_SY!$Z249-1,"")</f>
        <v/>
      </c>
      <c r="AM247" s="55" t="str">
        <f>IFERROR(Inv_SY!X249/Inv_SY!$Z249-1,"")</f>
        <v/>
      </c>
    </row>
    <row r="248" spans="1:39" x14ac:dyDescent="0.3">
      <c r="A248" s="273">
        <f>YEAR(Table5[[#This Row],[Date]])+IF(MONTH(Table5[[#This Row],[Date]])&gt;=4,1,0)</f>
        <v>2026</v>
      </c>
      <c r="B248" s="273"/>
      <c r="C248" s="273">
        <f>YEAR(Table5[[#This Row],[Date]])</f>
        <v>2025</v>
      </c>
      <c r="D248" s="273"/>
      <c r="E248" s="273"/>
      <c r="F248" s="274" t="str">
        <f>TEXT(Table5[[#This Row],[Date]],"mmm-yy")</f>
        <v>Nov-25</v>
      </c>
      <c r="G248" s="273">
        <f t="shared" si="11"/>
        <v>30</v>
      </c>
      <c r="H248" s="275">
        <f t="shared" si="12"/>
        <v>45991</v>
      </c>
      <c r="I248" s="273">
        <v>8.02</v>
      </c>
      <c r="J248" s="55" t="str">
        <f>IFERROR(Inv_SY!J250/Inv_SY!$Y250-1,"")</f>
        <v/>
      </c>
      <c r="K248" s="55" t="str">
        <f>IFERROR(Inv_SY!K250/Inv_SY!$Y250-1,"")</f>
        <v/>
      </c>
      <c r="L248" s="55" t="str">
        <f>IFERROR(Inv_SY!L250/Inv_SY!$Y250-1,"")</f>
        <v/>
      </c>
      <c r="M248" s="55" t="str">
        <f>IFERROR(Inv_SY!M250/Inv_SY!$Y250-1,"")</f>
        <v/>
      </c>
      <c r="N248" s="55" t="str">
        <f>IFERROR(Inv_SY!N250/Inv_SY!$Y250-1,"")</f>
        <v/>
      </c>
      <c r="O248" s="55" t="str">
        <f>IFERROR(Inv_SY!O250/Inv_SY!$Y250-1,"")</f>
        <v/>
      </c>
      <c r="P248" s="55" t="str">
        <f>IFERROR(Inv_SY!P250/Inv_SY!$Y250-1,"")</f>
        <v/>
      </c>
      <c r="Q248" s="55" t="str">
        <f>IFERROR(Inv_SY!Q250/Inv_SY!$Y250-1,"")</f>
        <v/>
      </c>
      <c r="R248" s="55" t="str">
        <f>IFERROR(Inv_SY!R250/Inv_SY!$Y250-1,"")</f>
        <v/>
      </c>
      <c r="S248" s="55" t="str">
        <f>IFERROR(Inv_SY!S250/Inv_SY!$Y250-1,"")</f>
        <v/>
      </c>
      <c r="T248" s="55" t="str">
        <f>IFERROR(Inv_SY!T250/Inv_SY!$Y250-1,"")</f>
        <v/>
      </c>
      <c r="U248" s="55" t="str">
        <f>IFERROR(Inv_SY!U250/Inv_SY!$Y250-1,"")</f>
        <v/>
      </c>
      <c r="V248" s="55" t="str">
        <f>IFERROR(Inv_SY!J250/Inv_SY!$Z250-1,"")</f>
        <v/>
      </c>
      <c r="W248" s="55" t="str">
        <f>IFERROR(Inv_SY!K250/Inv_SY!$Z250-1,"")</f>
        <v/>
      </c>
      <c r="X248" s="55" t="str">
        <f>IFERROR(Inv_SY!L250/Inv_SY!$Z250-1,"")</f>
        <v/>
      </c>
      <c r="Y248" s="55" t="str">
        <f>IFERROR(Inv_SY!M250/Inv_SY!$Z250-1,"")</f>
        <v/>
      </c>
      <c r="Z248" s="55" t="str">
        <f>IFERROR(Inv_SY!N250/Inv_SY!$Z250-1,"")</f>
        <v/>
      </c>
      <c r="AA248" s="55" t="str">
        <f>IFERROR(Inv_SY!O250/Inv_SY!$Z250-1,"")</f>
        <v/>
      </c>
      <c r="AB248" s="55" t="str">
        <f>IFERROR(Inv_SY!P250/Inv_SY!$Z250-1,"")</f>
        <v/>
      </c>
      <c r="AC248" s="55" t="str">
        <f>IFERROR(Inv_SY!Q250/Inv_SY!$Z250-1,"")</f>
        <v/>
      </c>
      <c r="AD248" s="55" t="str">
        <f>IFERROR(Inv_SY!R250/Inv_SY!$Z250-1,"")</f>
        <v/>
      </c>
      <c r="AE248" s="55" t="str">
        <f>IFERROR(Inv_SY!S250/Inv_SY!$Z250-1,"")</f>
        <v/>
      </c>
      <c r="AF248" s="55" t="str">
        <f>IFERROR(Inv_SY!T250/Inv_SY!$Z250-1,"")</f>
        <v/>
      </c>
      <c r="AG248" s="55" t="str">
        <f>IFERROR(Inv_SY!U250/Inv_SY!$Z250-1,"")</f>
        <v/>
      </c>
      <c r="AH248" s="55" t="str">
        <f>IFERROR(Inv_SY!V250/Inv_SY!$Y250-1,"")</f>
        <v/>
      </c>
      <c r="AI248" s="55" t="str">
        <f>IFERROR(Inv_SY!W250/Inv_SY!$Y250-1,"")</f>
        <v/>
      </c>
      <c r="AJ248" s="55" t="str">
        <f>IFERROR(Inv_SY!X250/Inv_SY!$Y250-1,"")</f>
        <v/>
      </c>
      <c r="AK248" s="55" t="str">
        <f>IFERROR(Inv_SY!V250/Inv_SY!$Z250-1,"")</f>
        <v/>
      </c>
      <c r="AL248" s="55" t="str">
        <f>IFERROR(Inv_SY!W250/Inv_SY!$Z250-1,"")</f>
        <v/>
      </c>
      <c r="AM248" s="55" t="str">
        <f>IFERROR(Inv_SY!X250/Inv_SY!$Z250-1,"")</f>
        <v/>
      </c>
    </row>
    <row r="249" spans="1:39" x14ac:dyDescent="0.3">
      <c r="A249" s="273">
        <f>YEAR(Table5[[#This Row],[Date]])+IF(MONTH(Table5[[#This Row],[Date]])&gt;=4,1,0)</f>
        <v>2026</v>
      </c>
      <c r="B249" s="273"/>
      <c r="C249" s="273">
        <f>YEAR(Table5[[#This Row],[Date]])</f>
        <v>2025</v>
      </c>
      <c r="D249" s="273"/>
      <c r="E249" s="273"/>
      <c r="F249" s="274" t="str">
        <f>TEXT(Table5[[#This Row],[Date]],"mmm-yy")</f>
        <v>Dec-25</v>
      </c>
      <c r="G249" s="273">
        <f t="shared" si="11"/>
        <v>31</v>
      </c>
      <c r="H249" s="275">
        <f t="shared" si="12"/>
        <v>45992</v>
      </c>
      <c r="I249" s="273">
        <v>8.02</v>
      </c>
      <c r="J249" s="55" t="str">
        <f>IFERROR(Inv_SY!J251/Inv_SY!$Y251-1,"")</f>
        <v/>
      </c>
      <c r="K249" s="55" t="str">
        <f>IFERROR(Inv_SY!K251/Inv_SY!$Y251-1,"")</f>
        <v/>
      </c>
      <c r="L249" s="55" t="str">
        <f>IFERROR(Inv_SY!L251/Inv_SY!$Y251-1,"")</f>
        <v/>
      </c>
      <c r="M249" s="55" t="str">
        <f>IFERROR(Inv_SY!M251/Inv_SY!$Y251-1,"")</f>
        <v/>
      </c>
      <c r="N249" s="55" t="str">
        <f>IFERROR(Inv_SY!N251/Inv_SY!$Y251-1,"")</f>
        <v/>
      </c>
      <c r="O249" s="55" t="str">
        <f>IFERROR(Inv_SY!O251/Inv_SY!$Y251-1,"")</f>
        <v/>
      </c>
      <c r="P249" s="55" t="str">
        <f>IFERROR(Inv_SY!P251/Inv_SY!$Y251-1,"")</f>
        <v/>
      </c>
      <c r="Q249" s="55" t="str">
        <f>IFERROR(Inv_SY!Q251/Inv_SY!$Y251-1,"")</f>
        <v/>
      </c>
      <c r="R249" s="55" t="str">
        <f>IFERROR(Inv_SY!R251/Inv_SY!$Y251-1,"")</f>
        <v/>
      </c>
      <c r="S249" s="55" t="str">
        <f>IFERROR(Inv_SY!S251/Inv_SY!$Y251-1,"")</f>
        <v/>
      </c>
      <c r="T249" s="55" t="str">
        <f>IFERROR(Inv_SY!T251/Inv_SY!$Y251-1,"")</f>
        <v/>
      </c>
      <c r="U249" s="55" t="str">
        <f>IFERROR(Inv_SY!U251/Inv_SY!$Y251-1,"")</f>
        <v/>
      </c>
      <c r="V249" s="55" t="str">
        <f>IFERROR(Inv_SY!J251/Inv_SY!$Z251-1,"")</f>
        <v/>
      </c>
      <c r="W249" s="55" t="str">
        <f>IFERROR(Inv_SY!K251/Inv_SY!$Z251-1,"")</f>
        <v/>
      </c>
      <c r="X249" s="55" t="str">
        <f>IFERROR(Inv_SY!L251/Inv_SY!$Z251-1,"")</f>
        <v/>
      </c>
      <c r="Y249" s="55" t="str">
        <f>IFERROR(Inv_SY!M251/Inv_SY!$Z251-1,"")</f>
        <v/>
      </c>
      <c r="Z249" s="55" t="str">
        <f>IFERROR(Inv_SY!N251/Inv_SY!$Z251-1,"")</f>
        <v/>
      </c>
      <c r="AA249" s="55" t="str">
        <f>IFERROR(Inv_SY!O251/Inv_SY!$Z251-1,"")</f>
        <v/>
      </c>
      <c r="AB249" s="55" t="str">
        <f>IFERROR(Inv_SY!P251/Inv_SY!$Z251-1,"")</f>
        <v/>
      </c>
      <c r="AC249" s="55" t="str">
        <f>IFERROR(Inv_SY!Q251/Inv_SY!$Z251-1,"")</f>
        <v/>
      </c>
      <c r="AD249" s="55" t="str">
        <f>IFERROR(Inv_SY!R251/Inv_SY!$Z251-1,"")</f>
        <v/>
      </c>
      <c r="AE249" s="55" t="str">
        <f>IFERROR(Inv_SY!S251/Inv_SY!$Z251-1,"")</f>
        <v/>
      </c>
      <c r="AF249" s="55" t="str">
        <f>IFERROR(Inv_SY!T251/Inv_SY!$Z251-1,"")</f>
        <v/>
      </c>
      <c r="AG249" s="55" t="str">
        <f>IFERROR(Inv_SY!U251/Inv_SY!$Z251-1,"")</f>
        <v/>
      </c>
      <c r="AH249" s="55" t="str">
        <f>IFERROR(Inv_SY!V251/Inv_SY!$Y251-1,"")</f>
        <v/>
      </c>
      <c r="AI249" s="55" t="str">
        <f>IFERROR(Inv_SY!W251/Inv_SY!$Y251-1,"")</f>
        <v/>
      </c>
      <c r="AJ249" s="55" t="str">
        <f>IFERROR(Inv_SY!X251/Inv_SY!$Y251-1,"")</f>
        <v/>
      </c>
      <c r="AK249" s="55" t="str">
        <f>IFERROR(Inv_SY!V251/Inv_SY!$Z251-1,"")</f>
        <v/>
      </c>
      <c r="AL249" s="55" t="str">
        <f>IFERROR(Inv_SY!W251/Inv_SY!$Z251-1,"")</f>
        <v/>
      </c>
      <c r="AM249" s="55" t="str">
        <f>IFERROR(Inv_SY!X251/Inv_SY!$Z251-1,"")</f>
        <v/>
      </c>
    </row>
    <row r="250" spans="1:39" x14ac:dyDescent="0.3">
      <c r="A250" s="273">
        <f>YEAR(Table5[[#This Row],[Date]])+IF(MONTH(Table5[[#This Row],[Date]])&gt;=4,1,0)</f>
        <v>2026</v>
      </c>
      <c r="B250" s="273"/>
      <c r="C250" s="273">
        <f>YEAR(Table5[[#This Row],[Date]])</f>
        <v>2025</v>
      </c>
      <c r="D250" s="273"/>
      <c r="E250" s="273"/>
      <c r="F250" s="274" t="str">
        <f>TEXT(Table5[[#This Row],[Date]],"mmm-yy")</f>
        <v>Dec-25</v>
      </c>
      <c r="G250" s="273">
        <f t="shared" si="11"/>
        <v>31</v>
      </c>
      <c r="H250" s="275">
        <f t="shared" si="12"/>
        <v>45993</v>
      </c>
      <c r="I250" s="273">
        <v>8.02</v>
      </c>
      <c r="J250" s="55" t="str">
        <f>IFERROR(Inv_SY!J252/Inv_SY!$Y252-1,"")</f>
        <v/>
      </c>
      <c r="K250" s="55" t="str">
        <f>IFERROR(Inv_SY!K252/Inv_SY!$Y252-1,"")</f>
        <v/>
      </c>
      <c r="L250" s="55" t="str">
        <f>IFERROR(Inv_SY!L252/Inv_SY!$Y252-1,"")</f>
        <v/>
      </c>
      <c r="M250" s="55" t="str">
        <f>IFERROR(Inv_SY!M252/Inv_SY!$Y252-1,"")</f>
        <v/>
      </c>
      <c r="N250" s="55" t="str">
        <f>IFERROR(Inv_SY!N252/Inv_SY!$Y252-1,"")</f>
        <v/>
      </c>
      <c r="O250" s="55" t="str">
        <f>IFERROR(Inv_SY!O252/Inv_SY!$Y252-1,"")</f>
        <v/>
      </c>
      <c r="P250" s="55" t="str">
        <f>IFERROR(Inv_SY!P252/Inv_SY!$Y252-1,"")</f>
        <v/>
      </c>
      <c r="Q250" s="55" t="str">
        <f>IFERROR(Inv_SY!Q252/Inv_SY!$Y252-1,"")</f>
        <v/>
      </c>
      <c r="R250" s="55" t="str">
        <f>IFERROR(Inv_SY!R252/Inv_SY!$Y252-1,"")</f>
        <v/>
      </c>
      <c r="S250" s="55" t="str">
        <f>IFERROR(Inv_SY!S252/Inv_SY!$Y252-1,"")</f>
        <v/>
      </c>
      <c r="T250" s="55" t="str">
        <f>IFERROR(Inv_SY!T252/Inv_SY!$Y252-1,"")</f>
        <v/>
      </c>
      <c r="U250" s="55" t="str">
        <f>IFERROR(Inv_SY!U252/Inv_SY!$Y252-1,"")</f>
        <v/>
      </c>
      <c r="V250" s="55" t="str">
        <f>IFERROR(Inv_SY!J252/Inv_SY!$Z252-1,"")</f>
        <v/>
      </c>
      <c r="W250" s="55" t="str">
        <f>IFERROR(Inv_SY!K252/Inv_SY!$Z252-1,"")</f>
        <v/>
      </c>
      <c r="X250" s="55" t="str">
        <f>IFERROR(Inv_SY!L252/Inv_SY!$Z252-1,"")</f>
        <v/>
      </c>
      <c r="Y250" s="55" t="str">
        <f>IFERROR(Inv_SY!M252/Inv_SY!$Z252-1,"")</f>
        <v/>
      </c>
      <c r="Z250" s="55" t="str">
        <f>IFERROR(Inv_SY!N252/Inv_SY!$Z252-1,"")</f>
        <v/>
      </c>
      <c r="AA250" s="55" t="str">
        <f>IFERROR(Inv_SY!O252/Inv_SY!$Z252-1,"")</f>
        <v/>
      </c>
      <c r="AB250" s="55" t="str">
        <f>IFERROR(Inv_SY!P252/Inv_SY!$Z252-1,"")</f>
        <v/>
      </c>
      <c r="AC250" s="55" t="str">
        <f>IFERROR(Inv_SY!Q252/Inv_SY!$Z252-1,"")</f>
        <v/>
      </c>
      <c r="AD250" s="55" t="str">
        <f>IFERROR(Inv_SY!R252/Inv_SY!$Z252-1,"")</f>
        <v/>
      </c>
      <c r="AE250" s="55" t="str">
        <f>IFERROR(Inv_SY!S252/Inv_SY!$Z252-1,"")</f>
        <v/>
      </c>
      <c r="AF250" s="55" t="str">
        <f>IFERROR(Inv_SY!T252/Inv_SY!$Z252-1,"")</f>
        <v/>
      </c>
      <c r="AG250" s="55" t="str">
        <f>IFERROR(Inv_SY!U252/Inv_SY!$Z252-1,"")</f>
        <v/>
      </c>
      <c r="AH250" s="55" t="str">
        <f>IFERROR(Inv_SY!V252/Inv_SY!$Y252-1,"")</f>
        <v/>
      </c>
      <c r="AI250" s="55" t="str">
        <f>IFERROR(Inv_SY!W252/Inv_SY!$Y252-1,"")</f>
        <v/>
      </c>
      <c r="AJ250" s="55" t="str">
        <f>IFERROR(Inv_SY!X252/Inv_SY!$Y252-1,"")</f>
        <v/>
      </c>
      <c r="AK250" s="55" t="str">
        <f>IFERROR(Inv_SY!V252/Inv_SY!$Z252-1,"")</f>
        <v/>
      </c>
      <c r="AL250" s="55" t="str">
        <f>IFERROR(Inv_SY!W252/Inv_SY!$Z252-1,"")</f>
        <v/>
      </c>
      <c r="AM250" s="55" t="str">
        <f>IFERROR(Inv_SY!X252/Inv_SY!$Z252-1,"")</f>
        <v/>
      </c>
    </row>
    <row r="251" spans="1:39" x14ac:dyDescent="0.3">
      <c r="A251" s="273">
        <f>YEAR(Table5[[#This Row],[Date]])+IF(MONTH(Table5[[#This Row],[Date]])&gt;=4,1,0)</f>
        <v>2026</v>
      </c>
      <c r="B251" s="273"/>
      <c r="C251" s="273">
        <f>YEAR(Table5[[#This Row],[Date]])</f>
        <v>2025</v>
      </c>
      <c r="D251" s="273"/>
      <c r="E251" s="273"/>
      <c r="F251" s="274" t="str">
        <f>TEXT(Table5[[#This Row],[Date]],"mmm-yy")</f>
        <v>Dec-25</v>
      </c>
      <c r="G251" s="273">
        <f t="shared" si="11"/>
        <v>31</v>
      </c>
      <c r="H251" s="275">
        <f t="shared" si="12"/>
        <v>45994</v>
      </c>
      <c r="I251" s="273">
        <v>8.02</v>
      </c>
      <c r="J251" s="55" t="str">
        <f>IFERROR(Inv_SY!J253/Inv_SY!$Y253-1,"")</f>
        <v/>
      </c>
      <c r="K251" s="55" t="str">
        <f>IFERROR(Inv_SY!K253/Inv_SY!$Y253-1,"")</f>
        <v/>
      </c>
      <c r="L251" s="55" t="str">
        <f>IFERROR(Inv_SY!L253/Inv_SY!$Y253-1,"")</f>
        <v/>
      </c>
      <c r="M251" s="55" t="str">
        <f>IFERROR(Inv_SY!M253/Inv_SY!$Y253-1,"")</f>
        <v/>
      </c>
      <c r="N251" s="55" t="str">
        <f>IFERROR(Inv_SY!N253/Inv_SY!$Y253-1,"")</f>
        <v/>
      </c>
      <c r="O251" s="55" t="str">
        <f>IFERROR(Inv_SY!O253/Inv_SY!$Y253-1,"")</f>
        <v/>
      </c>
      <c r="P251" s="55" t="str">
        <f>IFERROR(Inv_SY!P253/Inv_SY!$Y253-1,"")</f>
        <v/>
      </c>
      <c r="Q251" s="55" t="str">
        <f>IFERROR(Inv_SY!Q253/Inv_SY!$Y253-1,"")</f>
        <v/>
      </c>
      <c r="R251" s="55" t="str">
        <f>IFERROR(Inv_SY!R253/Inv_SY!$Y253-1,"")</f>
        <v/>
      </c>
      <c r="S251" s="55" t="str">
        <f>IFERROR(Inv_SY!S253/Inv_SY!$Y253-1,"")</f>
        <v/>
      </c>
      <c r="T251" s="55" t="str">
        <f>IFERROR(Inv_SY!T253/Inv_SY!$Y253-1,"")</f>
        <v/>
      </c>
      <c r="U251" s="55" t="str">
        <f>IFERROR(Inv_SY!U253/Inv_SY!$Y253-1,"")</f>
        <v/>
      </c>
      <c r="V251" s="55" t="str">
        <f>IFERROR(Inv_SY!J253/Inv_SY!$Z253-1,"")</f>
        <v/>
      </c>
      <c r="W251" s="55" t="str">
        <f>IFERROR(Inv_SY!K253/Inv_SY!$Z253-1,"")</f>
        <v/>
      </c>
      <c r="X251" s="55" t="str">
        <f>IFERROR(Inv_SY!L253/Inv_SY!$Z253-1,"")</f>
        <v/>
      </c>
      <c r="Y251" s="55" t="str">
        <f>IFERROR(Inv_SY!M253/Inv_SY!$Z253-1,"")</f>
        <v/>
      </c>
      <c r="Z251" s="55" t="str">
        <f>IFERROR(Inv_SY!N253/Inv_SY!$Z253-1,"")</f>
        <v/>
      </c>
      <c r="AA251" s="55" t="str">
        <f>IFERROR(Inv_SY!O253/Inv_SY!$Z253-1,"")</f>
        <v/>
      </c>
      <c r="AB251" s="55" t="str">
        <f>IFERROR(Inv_SY!P253/Inv_SY!$Z253-1,"")</f>
        <v/>
      </c>
      <c r="AC251" s="55" t="str">
        <f>IFERROR(Inv_SY!Q253/Inv_SY!$Z253-1,"")</f>
        <v/>
      </c>
      <c r="AD251" s="55" t="str">
        <f>IFERROR(Inv_SY!R253/Inv_SY!$Z253-1,"")</f>
        <v/>
      </c>
      <c r="AE251" s="55" t="str">
        <f>IFERROR(Inv_SY!S253/Inv_SY!$Z253-1,"")</f>
        <v/>
      </c>
      <c r="AF251" s="55" t="str">
        <f>IFERROR(Inv_SY!T253/Inv_SY!$Z253-1,"")</f>
        <v/>
      </c>
      <c r="AG251" s="55" t="str">
        <f>IFERROR(Inv_SY!U253/Inv_SY!$Z253-1,"")</f>
        <v/>
      </c>
      <c r="AH251" s="55" t="str">
        <f>IFERROR(Inv_SY!V253/Inv_SY!$Y253-1,"")</f>
        <v/>
      </c>
      <c r="AI251" s="55" t="str">
        <f>IFERROR(Inv_SY!W253/Inv_SY!$Y253-1,"")</f>
        <v/>
      </c>
      <c r="AJ251" s="55" t="str">
        <f>IFERROR(Inv_SY!X253/Inv_SY!$Y253-1,"")</f>
        <v/>
      </c>
      <c r="AK251" s="55" t="str">
        <f>IFERROR(Inv_SY!V253/Inv_SY!$Z253-1,"")</f>
        <v/>
      </c>
      <c r="AL251" s="55" t="str">
        <f>IFERROR(Inv_SY!W253/Inv_SY!$Z253-1,"")</f>
        <v/>
      </c>
      <c r="AM251" s="55" t="str">
        <f>IFERROR(Inv_SY!X253/Inv_SY!$Z253-1,"")</f>
        <v/>
      </c>
    </row>
    <row r="252" spans="1:39" x14ac:dyDescent="0.3">
      <c r="A252" s="273">
        <f>YEAR(Table5[[#This Row],[Date]])+IF(MONTH(Table5[[#This Row],[Date]])&gt;=4,1,0)</f>
        <v>2026</v>
      </c>
      <c r="B252" s="273"/>
      <c r="C252" s="273">
        <f>YEAR(Table5[[#This Row],[Date]])</f>
        <v>2025</v>
      </c>
      <c r="D252" s="273"/>
      <c r="E252" s="273"/>
      <c r="F252" s="274" t="str">
        <f>TEXT(Table5[[#This Row],[Date]],"mmm-yy")</f>
        <v>Dec-25</v>
      </c>
      <c r="G252" s="273">
        <f t="shared" si="11"/>
        <v>31</v>
      </c>
      <c r="H252" s="275">
        <f t="shared" si="12"/>
        <v>45995</v>
      </c>
      <c r="I252" s="273">
        <v>8.02</v>
      </c>
      <c r="J252" s="55" t="str">
        <f>IFERROR(Inv_SY!J254/Inv_SY!$Y254-1,"")</f>
        <v/>
      </c>
      <c r="K252" s="55" t="str">
        <f>IFERROR(Inv_SY!K254/Inv_SY!$Y254-1,"")</f>
        <v/>
      </c>
      <c r="L252" s="55" t="str">
        <f>IFERROR(Inv_SY!L254/Inv_SY!$Y254-1,"")</f>
        <v/>
      </c>
      <c r="M252" s="55" t="str">
        <f>IFERROR(Inv_SY!M254/Inv_SY!$Y254-1,"")</f>
        <v/>
      </c>
      <c r="N252" s="55" t="str">
        <f>IFERROR(Inv_SY!N254/Inv_SY!$Y254-1,"")</f>
        <v/>
      </c>
      <c r="O252" s="55" t="str">
        <f>IFERROR(Inv_SY!O254/Inv_SY!$Y254-1,"")</f>
        <v/>
      </c>
      <c r="P252" s="55" t="str">
        <f>IFERROR(Inv_SY!P254/Inv_SY!$Y254-1,"")</f>
        <v/>
      </c>
      <c r="Q252" s="55" t="str">
        <f>IFERROR(Inv_SY!Q254/Inv_SY!$Y254-1,"")</f>
        <v/>
      </c>
      <c r="R252" s="55" t="str">
        <f>IFERROR(Inv_SY!R254/Inv_SY!$Y254-1,"")</f>
        <v/>
      </c>
      <c r="S252" s="55" t="str">
        <f>IFERROR(Inv_SY!S254/Inv_SY!$Y254-1,"")</f>
        <v/>
      </c>
      <c r="T252" s="55" t="str">
        <f>IFERROR(Inv_SY!T254/Inv_SY!$Y254-1,"")</f>
        <v/>
      </c>
      <c r="U252" s="55" t="str">
        <f>IFERROR(Inv_SY!U254/Inv_SY!$Y254-1,"")</f>
        <v/>
      </c>
      <c r="V252" s="55" t="str">
        <f>IFERROR(Inv_SY!J254/Inv_SY!$Z254-1,"")</f>
        <v/>
      </c>
      <c r="W252" s="55" t="str">
        <f>IFERROR(Inv_SY!K254/Inv_SY!$Z254-1,"")</f>
        <v/>
      </c>
      <c r="X252" s="55" t="str">
        <f>IFERROR(Inv_SY!L254/Inv_SY!$Z254-1,"")</f>
        <v/>
      </c>
      <c r="Y252" s="55" t="str">
        <f>IFERROR(Inv_SY!M254/Inv_SY!$Z254-1,"")</f>
        <v/>
      </c>
      <c r="Z252" s="55" t="str">
        <f>IFERROR(Inv_SY!N254/Inv_SY!$Z254-1,"")</f>
        <v/>
      </c>
      <c r="AA252" s="55" t="str">
        <f>IFERROR(Inv_SY!O254/Inv_SY!$Z254-1,"")</f>
        <v/>
      </c>
      <c r="AB252" s="55" t="str">
        <f>IFERROR(Inv_SY!P254/Inv_SY!$Z254-1,"")</f>
        <v/>
      </c>
      <c r="AC252" s="55" t="str">
        <f>IFERROR(Inv_SY!Q254/Inv_SY!$Z254-1,"")</f>
        <v/>
      </c>
      <c r="AD252" s="55" t="str">
        <f>IFERROR(Inv_SY!R254/Inv_SY!$Z254-1,"")</f>
        <v/>
      </c>
      <c r="AE252" s="55" t="str">
        <f>IFERROR(Inv_SY!S254/Inv_SY!$Z254-1,"")</f>
        <v/>
      </c>
      <c r="AF252" s="55" t="str">
        <f>IFERROR(Inv_SY!T254/Inv_SY!$Z254-1,"")</f>
        <v/>
      </c>
      <c r="AG252" s="55" t="str">
        <f>IFERROR(Inv_SY!U254/Inv_SY!$Z254-1,"")</f>
        <v/>
      </c>
      <c r="AH252" s="55" t="str">
        <f>IFERROR(Inv_SY!V254/Inv_SY!$Y254-1,"")</f>
        <v/>
      </c>
      <c r="AI252" s="55" t="str">
        <f>IFERROR(Inv_SY!W254/Inv_SY!$Y254-1,"")</f>
        <v/>
      </c>
      <c r="AJ252" s="55" t="str">
        <f>IFERROR(Inv_SY!X254/Inv_SY!$Y254-1,"")</f>
        <v/>
      </c>
      <c r="AK252" s="55" t="str">
        <f>IFERROR(Inv_SY!V254/Inv_SY!$Z254-1,"")</f>
        <v/>
      </c>
      <c r="AL252" s="55" t="str">
        <f>IFERROR(Inv_SY!W254/Inv_SY!$Z254-1,"")</f>
        <v/>
      </c>
      <c r="AM252" s="55" t="str">
        <f>IFERROR(Inv_SY!X254/Inv_SY!$Z254-1,"")</f>
        <v/>
      </c>
    </row>
    <row r="253" spans="1:39" x14ac:dyDescent="0.3">
      <c r="A253" s="273">
        <f>YEAR(Table5[[#This Row],[Date]])+IF(MONTH(Table5[[#This Row],[Date]])&gt;=4,1,0)</f>
        <v>2026</v>
      </c>
      <c r="B253" s="273"/>
      <c r="C253" s="273">
        <f>YEAR(Table5[[#This Row],[Date]])</f>
        <v>2025</v>
      </c>
      <c r="D253" s="273"/>
      <c r="E253" s="273"/>
      <c r="F253" s="274" t="str">
        <f>TEXT(Table5[[#This Row],[Date]],"mmm-yy")</f>
        <v>Dec-25</v>
      </c>
      <c r="G253" s="273">
        <f t="shared" si="11"/>
        <v>31</v>
      </c>
      <c r="H253" s="275">
        <f t="shared" si="12"/>
        <v>45996</v>
      </c>
      <c r="I253" s="273">
        <v>8.02</v>
      </c>
      <c r="J253" s="55" t="str">
        <f>IFERROR(Inv_SY!J255/Inv_SY!$Y255-1,"")</f>
        <v/>
      </c>
      <c r="K253" s="55" t="str">
        <f>IFERROR(Inv_SY!K255/Inv_SY!$Y255-1,"")</f>
        <v/>
      </c>
      <c r="L253" s="55" t="str">
        <f>IFERROR(Inv_SY!L255/Inv_SY!$Y255-1,"")</f>
        <v/>
      </c>
      <c r="M253" s="55" t="str">
        <f>IFERROR(Inv_SY!M255/Inv_SY!$Y255-1,"")</f>
        <v/>
      </c>
      <c r="N253" s="55" t="str">
        <f>IFERROR(Inv_SY!N255/Inv_SY!$Y255-1,"")</f>
        <v/>
      </c>
      <c r="O253" s="55" t="str">
        <f>IFERROR(Inv_SY!O255/Inv_SY!$Y255-1,"")</f>
        <v/>
      </c>
      <c r="P253" s="55" t="str">
        <f>IFERROR(Inv_SY!P255/Inv_SY!$Y255-1,"")</f>
        <v/>
      </c>
      <c r="Q253" s="55" t="str">
        <f>IFERROR(Inv_SY!Q255/Inv_SY!$Y255-1,"")</f>
        <v/>
      </c>
      <c r="R253" s="55" t="str">
        <f>IFERROR(Inv_SY!R255/Inv_SY!$Y255-1,"")</f>
        <v/>
      </c>
      <c r="S253" s="55" t="str">
        <f>IFERROR(Inv_SY!S255/Inv_SY!$Y255-1,"")</f>
        <v/>
      </c>
      <c r="T253" s="55" t="str">
        <f>IFERROR(Inv_SY!T255/Inv_SY!$Y255-1,"")</f>
        <v/>
      </c>
      <c r="U253" s="55" t="str">
        <f>IFERROR(Inv_SY!U255/Inv_SY!$Y255-1,"")</f>
        <v/>
      </c>
      <c r="V253" s="55" t="str">
        <f>IFERROR(Inv_SY!J255/Inv_SY!$Z255-1,"")</f>
        <v/>
      </c>
      <c r="W253" s="55" t="str">
        <f>IFERROR(Inv_SY!K255/Inv_SY!$Z255-1,"")</f>
        <v/>
      </c>
      <c r="X253" s="55" t="str">
        <f>IFERROR(Inv_SY!L255/Inv_SY!$Z255-1,"")</f>
        <v/>
      </c>
      <c r="Y253" s="55" t="str">
        <f>IFERROR(Inv_SY!M255/Inv_SY!$Z255-1,"")</f>
        <v/>
      </c>
      <c r="Z253" s="55" t="str">
        <f>IFERROR(Inv_SY!N255/Inv_SY!$Z255-1,"")</f>
        <v/>
      </c>
      <c r="AA253" s="55" t="str">
        <f>IFERROR(Inv_SY!O255/Inv_SY!$Z255-1,"")</f>
        <v/>
      </c>
      <c r="AB253" s="55" t="str">
        <f>IFERROR(Inv_SY!P255/Inv_SY!$Z255-1,"")</f>
        <v/>
      </c>
      <c r="AC253" s="55" t="str">
        <f>IFERROR(Inv_SY!Q255/Inv_SY!$Z255-1,"")</f>
        <v/>
      </c>
      <c r="AD253" s="55" t="str">
        <f>IFERROR(Inv_SY!R255/Inv_SY!$Z255-1,"")</f>
        <v/>
      </c>
      <c r="AE253" s="55" t="str">
        <f>IFERROR(Inv_SY!S255/Inv_SY!$Z255-1,"")</f>
        <v/>
      </c>
      <c r="AF253" s="55" t="str">
        <f>IFERROR(Inv_SY!T255/Inv_SY!$Z255-1,"")</f>
        <v/>
      </c>
      <c r="AG253" s="55" t="str">
        <f>IFERROR(Inv_SY!U255/Inv_SY!$Z255-1,"")</f>
        <v/>
      </c>
      <c r="AH253" s="55" t="str">
        <f>IFERROR(Inv_SY!V255/Inv_SY!$Y255-1,"")</f>
        <v/>
      </c>
      <c r="AI253" s="55" t="str">
        <f>IFERROR(Inv_SY!W255/Inv_SY!$Y255-1,"")</f>
        <v/>
      </c>
      <c r="AJ253" s="55" t="str">
        <f>IFERROR(Inv_SY!X255/Inv_SY!$Y255-1,"")</f>
        <v/>
      </c>
      <c r="AK253" s="55" t="str">
        <f>IFERROR(Inv_SY!V255/Inv_SY!$Z255-1,"")</f>
        <v/>
      </c>
      <c r="AL253" s="55" t="str">
        <f>IFERROR(Inv_SY!W255/Inv_SY!$Z255-1,"")</f>
        <v/>
      </c>
      <c r="AM253" s="55" t="str">
        <f>IFERROR(Inv_SY!X255/Inv_SY!$Z255-1,"")</f>
        <v/>
      </c>
    </row>
    <row r="254" spans="1:39" x14ac:dyDescent="0.3">
      <c r="A254" s="273">
        <f>YEAR(Table5[[#This Row],[Date]])+IF(MONTH(Table5[[#This Row],[Date]])&gt;=4,1,0)</f>
        <v>2026</v>
      </c>
      <c r="B254" s="273"/>
      <c r="C254" s="273">
        <f>YEAR(Table5[[#This Row],[Date]])</f>
        <v>2025</v>
      </c>
      <c r="D254" s="273"/>
      <c r="E254" s="273"/>
      <c r="F254" s="274" t="str">
        <f>TEXT(Table5[[#This Row],[Date]],"mmm-yy")</f>
        <v>Dec-25</v>
      </c>
      <c r="G254" s="273">
        <f t="shared" si="11"/>
        <v>31</v>
      </c>
      <c r="H254" s="275">
        <f t="shared" si="12"/>
        <v>45997</v>
      </c>
      <c r="I254" s="273">
        <v>8.02</v>
      </c>
      <c r="J254" s="55" t="str">
        <f>IFERROR(Inv_SY!J256/Inv_SY!$Y256-1,"")</f>
        <v/>
      </c>
      <c r="K254" s="55" t="str">
        <f>IFERROR(Inv_SY!K256/Inv_SY!$Y256-1,"")</f>
        <v/>
      </c>
      <c r="L254" s="55" t="str">
        <f>IFERROR(Inv_SY!L256/Inv_SY!$Y256-1,"")</f>
        <v/>
      </c>
      <c r="M254" s="55" t="str">
        <f>IFERROR(Inv_SY!M256/Inv_SY!$Y256-1,"")</f>
        <v/>
      </c>
      <c r="N254" s="55" t="str">
        <f>IFERROR(Inv_SY!N256/Inv_SY!$Y256-1,"")</f>
        <v/>
      </c>
      <c r="O254" s="55" t="str">
        <f>IFERROR(Inv_SY!O256/Inv_SY!$Y256-1,"")</f>
        <v/>
      </c>
      <c r="P254" s="55" t="str">
        <f>IFERROR(Inv_SY!P256/Inv_SY!$Y256-1,"")</f>
        <v/>
      </c>
      <c r="Q254" s="55" t="str">
        <f>IFERROR(Inv_SY!Q256/Inv_SY!$Y256-1,"")</f>
        <v/>
      </c>
      <c r="R254" s="55" t="str">
        <f>IFERROR(Inv_SY!R256/Inv_SY!$Y256-1,"")</f>
        <v/>
      </c>
      <c r="S254" s="55" t="str">
        <f>IFERROR(Inv_SY!S256/Inv_SY!$Y256-1,"")</f>
        <v/>
      </c>
      <c r="T254" s="55" t="str">
        <f>IFERROR(Inv_SY!T256/Inv_SY!$Y256-1,"")</f>
        <v/>
      </c>
      <c r="U254" s="55" t="str">
        <f>IFERROR(Inv_SY!U256/Inv_SY!$Y256-1,"")</f>
        <v/>
      </c>
      <c r="V254" s="55" t="str">
        <f>IFERROR(Inv_SY!J256/Inv_SY!$Z256-1,"")</f>
        <v/>
      </c>
      <c r="W254" s="55" t="str">
        <f>IFERROR(Inv_SY!K256/Inv_SY!$Z256-1,"")</f>
        <v/>
      </c>
      <c r="X254" s="55" t="str">
        <f>IFERROR(Inv_SY!L256/Inv_SY!$Z256-1,"")</f>
        <v/>
      </c>
      <c r="Y254" s="55" t="str">
        <f>IFERROR(Inv_SY!M256/Inv_SY!$Z256-1,"")</f>
        <v/>
      </c>
      <c r="Z254" s="55" t="str">
        <f>IFERROR(Inv_SY!N256/Inv_SY!$Z256-1,"")</f>
        <v/>
      </c>
      <c r="AA254" s="55" t="str">
        <f>IFERROR(Inv_SY!O256/Inv_SY!$Z256-1,"")</f>
        <v/>
      </c>
      <c r="AB254" s="55" t="str">
        <f>IFERROR(Inv_SY!P256/Inv_SY!$Z256-1,"")</f>
        <v/>
      </c>
      <c r="AC254" s="55" t="str">
        <f>IFERROR(Inv_SY!Q256/Inv_SY!$Z256-1,"")</f>
        <v/>
      </c>
      <c r="AD254" s="55" t="str">
        <f>IFERROR(Inv_SY!R256/Inv_SY!$Z256-1,"")</f>
        <v/>
      </c>
      <c r="AE254" s="55" t="str">
        <f>IFERROR(Inv_SY!S256/Inv_SY!$Z256-1,"")</f>
        <v/>
      </c>
      <c r="AF254" s="55" t="str">
        <f>IFERROR(Inv_SY!T256/Inv_SY!$Z256-1,"")</f>
        <v/>
      </c>
      <c r="AG254" s="55" t="str">
        <f>IFERROR(Inv_SY!U256/Inv_SY!$Z256-1,"")</f>
        <v/>
      </c>
      <c r="AH254" s="55" t="str">
        <f>IFERROR(Inv_SY!V256/Inv_SY!$Y256-1,"")</f>
        <v/>
      </c>
      <c r="AI254" s="55" t="str">
        <f>IFERROR(Inv_SY!W256/Inv_SY!$Y256-1,"")</f>
        <v/>
      </c>
      <c r="AJ254" s="55" t="str">
        <f>IFERROR(Inv_SY!X256/Inv_SY!$Y256-1,"")</f>
        <v/>
      </c>
      <c r="AK254" s="55" t="str">
        <f>IFERROR(Inv_SY!V256/Inv_SY!$Z256-1,"")</f>
        <v/>
      </c>
      <c r="AL254" s="55" t="str">
        <f>IFERROR(Inv_SY!W256/Inv_SY!$Z256-1,"")</f>
        <v/>
      </c>
      <c r="AM254" s="55" t="str">
        <f>IFERROR(Inv_SY!X256/Inv_SY!$Z256-1,"")</f>
        <v/>
      </c>
    </row>
    <row r="255" spans="1:39" x14ac:dyDescent="0.3">
      <c r="A255" s="273">
        <f>YEAR(Table5[[#This Row],[Date]])+IF(MONTH(Table5[[#This Row],[Date]])&gt;=4,1,0)</f>
        <v>2026</v>
      </c>
      <c r="B255" s="273"/>
      <c r="C255" s="273">
        <f>YEAR(Table5[[#This Row],[Date]])</f>
        <v>2025</v>
      </c>
      <c r="D255" s="273"/>
      <c r="E255" s="273"/>
      <c r="F255" s="274" t="str">
        <f>TEXT(Table5[[#This Row],[Date]],"mmm-yy")</f>
        <v>Dec-25</v>
      </c>
      <c r="G255" s="273">
        <f t="shared" si="11"/>
        <v>31</v>
      </c>
      <c r="H255" s="275">
        <f t="shared" si="12"/>
        <v>45998</v>
      </c>
      <c r="I255" s="273">
        <v>8.02</v>
      </c>
      <c r="J255" s="55" t="str">
        <f>IFERROR(Inv_SY!J257/Inv_SY!$Y257-1,"")</f>
        <v/>
      </c>
      <c r="K255" s="55" t="str">
        <f>IFERROR(Inv_SY!K257/Inv_SY!$Y257-1,"")</f>
        <v/>
      </c>
      <c r="L255" s="55" t="str">
        <f>IFERROR(Inv_SY!L257/Inv_SY!$Y257-1,"")</f>
        <v/>
      </c>
      <c r="M255" s="55" t="str">
        <f>IFERROR(Inv_SY!M257/Inv_SY!$Y257-1,"")</f>
        <v/>
      </c>
      <c r="N255" s="55" t="str">
        <f>IFERROR(Inv_SY!N257/Inv_SY!$Y257-1,"")</f>
        <v/>
      </c>
      <c r="O255" s="55" t="str">
        <f>IFERROR(Inv_SY!O257/Inv_SY!$Y257-1,"")</f>
        <v/>
      </c>
      <c r="P255" s="55" t="str">
        <f>IFERROR(Inv_SY!P257/Inv_SY!$Y257-1,"")</f>
        <v/>
      </c>
      <c r="Q255" s="55" t="str">
        <f>IFERROR(Inv_SY!Q257/Inv_SY!$Y257-1,"")</f>
        <v/>
      </c>
      <c r="R255" s="55" t="str">
        <f>IFERROR(Inv_SY!R257/Inv_SY!$Y257-1,"")</f>
        <v/>
      </c>
      <c r="S255" s="55" t="str">
        <f>IFERROR(Inv_SY!S257/Inv_SY!$Y257-1,"")</f>
        <v/>
      </c>
      <c r="T255" s="55" t="str">
        <f>IFERROR(Inv_SY!T257/Inv_SY!$Y257-1,"")</f>
        <v/>
      </c>
      <c r="U255" s="55" t="str">
        <f>IFERROR(Inv_SY!U257/Inv_SY!$Y257-1,"")</f>
        <v/>
      </c>
      <c r="V255" s="55" t="str">
        <f>IFERROR(Inv_SY!J257/Inv_SY!$Z257-1,"")</f>
        <v/>
      </c>
      <c r="W255" s="55" t="str">
        <f>IFERROR(Inv_SY!K257/Inv_SY!$Z257-1,"")</f>
        <v/>
      </c>
      <c r="X255" s="55" t="str">
        <f>IFERROR(Inv_SY!L257/Inv_SY!$Z257-1,"")</f>
        <v/>
      </c>
      <c r="Y255" s="55" t="str">
        <f>IFERROR(Inv_SY!M257/Inv_SY!$Z257-1,"")</f>
        <v/>
      </c>
      <c r="Z255" s="55" t="str">
        <f>IFERROR(Inv_SY!N257/Inv_SY!$Z257-1,"")</f>
        <v/>
      </c>
      <c r="AA255" s="55" t="str">
        <f>IFERROR(Inv_SY!O257/Inv_SY!$Z257-1,"")</f>
        <v/>
      </c>
      <c r="AB255" s="55" t="str">
        <f>IFERROR(Inv_SY!P257/Inv_SY!$Z257-1,"")</f>
        <v/>
      </c>
      <c r="AC255" s="55" t="str">
        <f>IFERROR(Inv_SY!Q257/Inv_SY!$Z257-1,"")</f>
        <v/>
      </c>
      <c r="AD255" s="55" t="str">
        <f>IFERROR(Inv_SY!R257/Inv_SY!$Z257-1,"")</f>
        <v/>
      </c>
      <c r="AE255" s="55" t="str">
        <f>IFERROR(Inv_SY!S257/Inv_SY!$Z257-1,"")</f>
        <v/>
      </c>
      <c r="AF255" s="55" t="str">
        <f>IFERROR(Inv_SY!T257/Inv_SY!$Z257-1,"")</f>
        <v/>
      </c>
      <c r="AG255" s="55" t="str">
        <f>IFERROR(Inv_SY!U257/Inv_SY!$Z257-1,"")</f>
        <v/>
      </c>
      <c r="AH255" s="55" t="str">
        <f>IFERROR(Inv_SY!V257/Inv_SY!$Y257-1,"")</f>
        <v/>
      </c>
      <c r="AI255" s="55" t="str">
        <f>IFERROR(Inv_SY!W257/Inv_SY!$Y257-1,"")</f>
        <v/>
      </c>
      <c r="AJ255" s="55" t="str">
        <f>IFERROR(Inv_SY!X257/Inv_SY!$Y257-1,"")</f>
        <v/>
      </c>
      <c r="AK255" s="55" t="str">
        <f>IFERROR(Inv_SY!V257/Inv_SY!$Z257-1,"")</f>
        <v/>
      </c>
      <c r="AL255" s="55" t="str">
        <f>IFERROR(Inv_SY!W257/Inv_SY!$Z257-1,"")</f>
        <v/>
      </c>
      <c r="AM255" s="55" t="str">
        <f>IFERROR(Inv_SY!X257/Inv_SY!$Z257-1,"")</f>
        <v/>
      </c>
    </row>
    <row r="256" spans="1:39" x14ac:dyDescent="0.3">
      <c r="A256" s="273">
        <f>YEAR(Table5[[#This Row],[Date]])+IF(MONTH(Table5[[#This Row],[Date]])&gt;=4,1,0)</f>
        <v>2026</v>
      </c>
      <c r="B256" s="273"/>
      <c r="C256" s="273">
        <f>YEAR(Table5[[#This Row],[Date]])</f>
        <v>2025</v>
      </c>
      <c r="D256" s="273"/>
      <c r="E256" s="273"/>
      <c r="F256" s="274" t="str">
        <f>TEXT(Table5[[#This Row],[Date]],"mmm-yy")</f>
        <v>Dec-25</v>
      </c>
      <c r="G256" s="273">
        <f t="shared" si="11"/>
        <v>31</v>
      </c>
      <c r="H256" s="275">
        <f t="shared" si="12"/>
        <v>45999</v>
      </c>
      <c r="I256" s="273">
        <v>8.02</v>
      </c>
      <c r="J256" s="55" t="str">
        <f>IFERROR(Inv_SY!J258/Inv_SY!$Y258-1,"")</f>
        <v/>
      </c>
      <c r="K256" s="55" t="str">
        <f>IFERROR(Inv_SY!K258/Inv_SY!$Y258-1,"")</f>
        <v/>
      </c>
      <c r="L256" s="55" t="str">
        <f>IFERROR(Inv_SY!L258/Inv_SY!$Y258-1,"")</f>
        <v/>
      </c>
      <c r="M256" s="55" t="str">
        <f>IFERROR(Inv_SY!M258/Inv_SY!$Y258-1,"")</f>
        <v/>
      </c>
      <c r="N256" s="55" t="str">
        <f>IFERROR(Inv_SY!N258/Inv_SY!$Y258-1,"")</f>
        <v/>
      </c>
      <c r="O256" s="55" t="str">
        <f>IFERROR(Inv_SY!O258/Inv_SY!$Y258-1,"")</f>
        <v/>
      </c>
      <c r="P256" s="55" t="str">
        <f>IFERROR(Inv_SY!P258/Inv_SY!$Y258-1,"")</f>
        <v/>
      </c>
      <c r="Q256" s="55" t="str">
        <f>IFERROR(Inv_SY!Q258/Inv_SY!$Y258-1,"")</f>
        <v/>
      </c>
      <c r="R256" s="55" t="str">
        <f>IFERROR(Inv_SY!R258/Inv_SY!$Y258-1,"")</f>
        <v/>
      </c>
      <c r="S256" s="55" t="str">
        <f>IFERROR(Inv_SY!S258/Inv_SY!$Y258-1,"")</f>
        <v/>
      </c>
      <c r="T256" s="55" t="str">
        <f>IFERROR(Inv_SY!T258/Inv_SY!$Y258-1,"")</f>
        <v/>
      </c>
      <c r="U256" s="55" t="str">
        <f>IFERROR(Inv_SY!U258/Inv_SY!$Y258-1,"")</f>
        <v/>
      </c>
      <c r="V256" s="55" t="str">
        <f>IFERROR(Inv_SY!J258/Inv_SY!$Z258-1,"")</f>
        <v/>
      </c>
      <c r="W256" s="55" t="str">
        <f>IFERROR(Inv_SY!K258/Inv_SY!$Z258-1,"")</f>
        <v/>
      </c>
      <c r="X256" s="55" t="str">
        <f>IFERROR(Inv_SY!L258/Inv_SY!$Z258-1,"")</f>
        <v/>
      </c>
      <c r="Y256" s="55" t="str">
        <f>IFERROR(Inv_SY!M258/Inv_SY!$Z258-1,"")</f>
        <v/>
      </c>
      <c r="Z256" s="55" t="str">
        <f>IFERROR(Inv_SY!N258/Inv_SY!$Z258-1,"")</f>
        <v/>
      </c>
      <c r="AA256" s="55" t="str">
        <f>IFERROR(Inv_SY!O258/Inv_SY!$Z258-1,"")</f>
        <v/>
      </c>
      <c r="AB256" s="55" t="str">
        <f>IFERROR(Inv_SY!P258/Inv_SY!$Z258-1,"")</f>
        <v/>
      </c>
      <c r="AC256" s="55" t="str">
        <f>IFERROR(Inv_SY!Q258/Inv_SY!$Z258-1,"")</f>
        <v/>
      </c>
      <c r="AD256" s="55" t="str">
        <f>IFERROR(Inv_SY!R258/Inv_SY!$Z258-1,"")</f>
        <v/>
      </c>
      <c r="AE256" s="55" t="str">
        <f>IFERROR(Inv_SY!S258/Inv_SY!$Z258-1,"")</f>
        <v/>
      </c>
      <c r="AF256" s="55" t="str">
        <f>IFERROR(Inv_SY!T258/Inv_SY!$Z258-1,"")</f>
        <v/>
      </c>
      <c r="AG256" s="55" t="str">
        <f>IFERROR(Inv_SY!U258/Inv_SY!$Z258-1,"")</f>
        <v/>
      </c>
      <c r="AH256" s="55" t="str">
        <f>IFERROR(Inv_SY!V258/Inv_SY!$Y258-1,"")</f>
        <v/>
      </c>
      <c r="AI256" s="55" t="str">
        <f>IFERROR(Inv_SY!W258/Inv_SY!$Y258-1,"")</f>
        <v/>
      </c>
      <c r="AJ256" s="55" t="str">
        <f>IFERROR(Inv_SY!X258/Inv_SY!$Y258-1,"")</f>
        <v/>
      </c>
      <c r="AK256" s="55" t="str">
        <f>IFERROR(Inv_SY!V258/Inv_SY!$Z258-1,"")</f>
        <v/>
      </c>
      <c r="AL256" s="55" t="str">
        <f>IFERROR(Inv_SY!W258/Inv_SY!$Z258-1,"")</f>
        <v/>
      </c>
      <c r="AM256" s="55" t="str">
        <f>IFERROR(Inv_SY!X258/Inv_SY!$Z258-1,"")</f>
        <v/>
      </c>
    </row>
    <row r="257" spans="1:39" x14ac:dyDescent="0.3">
      <c r="A257" s="273">
        <f>YEAR(Table5[[#This Row],[Date]])+IF(MONTH(Table5[[#This Row],[Date]])&gt;=4,1,0)</f>
        <v>2026</v>
      </c>
      <c r="B257" s="273"/>
      <c r="C257" s="273">
        <f>YEAR(Table5[[#This Row],[Date]])</f>
        <v>2025</v>
      </c>
      <c r="D257" s="273"/>
      <c r="E257" s="273"/>
      <c r="F257" s="274" t="str">
        <f>TEXT(Table5[[#This Row],[Date]],"mmm-yy")</f>
        <v>Dec-25</v>
      </c>
      <c r="G257" s="273">
        <f t="shared" si="11"/>
        <v>31</v>
      </c>
      <c r="H257" s="275">
        <f t="shared" si="12"/>
        <v>46000</v>
      </c>
      <c r="I257" s="273">
        <v>8.02</v>
      </c>
      <c r="J257" s="55" t="str">
        <f>IFERROR(Inv_SY!J259/Inv_SY!$Y259-1,"")</f>
        <v/>
      </c>
      <c r="K257" s="55" t="str">
        <f>IFERROR(Inv_SY!K259/Inv_SY!$Y259-1,"")</f>
        <v/>
      </c>
      <c r="L257" s="55" t="str">
        <f>IFERROR(Inv_SY!L259/Inv_SY!$Y259-1,"")</f>
        <v/>
      </c>
      <c r="M257" s="55" t="str">
        <f>IFERROR(Inv_SY!M259/Inv_SY!$Y259-1,"")</f>
        <v/>
      </c>
      <c r="N257" s="55" t="str">
        <f>IFERROR(Inv_SY!N259/Inv_SY!$Y259-1,"")</f>
        <v/>
      </c>
      <c r="O257" s="55" t="str">
        <f>IFERROR(Inv_SY!O259/Inv_SY!$Y259-1,"")</f>
        <v/>
      </c>
      <c r="P257" s="55" t="str">
        <f>IFERROR(Inv_SY!P259/Inv_SY!$Y259-1,"")</f>
        <v/>
      </c>
      <c r="Q257" s="55" t="str">
        <f>IFERROR(Inv_SY!Q259/Inv_SY!$Y259-1,"")</f>
        <v/>
      </c>
      <c r="R257" s="55" t="str">
        <f>IFERROR(Inv_SY!R259/Inv_SY!$Y259-1,"")</f>
        <v/>
      </c>
      <c r="S257" s="55" t="str">
        <f>IFERROR(Inv_SY!S259/Inv_SY!$Y259-1,"")</f>
        <v/>
      </c>
      <c r="T257" s="55" t="str">
        <f>IFERROR(Inv_SY!T259/Inv_SY!$Y259-1,"")</f>
        <v/>
      </c>
      <c r="U257" s="55" t="str">
        <f>IFERROR(Inv_SY!U259/Inv_SY!$Y259-1,"")</f>
        <v/>
      </c>
      <c r="V257" s="55" t="str">
        <f>IFERROR(Inv_SY!J259/Inv_SY!$Z259-1,"")</f>
        <v/>
      </c>
      <c r="W257" s="55" t="str">
        <f>IFERROR(Inv_SY!K259/Inv_SY!$Z259-1,"")</f>
        <v/>
      </c>
      <c r="X257" s="55" t="str">
        <f>IFERROR(Inv_SY!L259/Inv_SY!$Z259-1,"")</f>
        <v/>
      </c>
      <c r="Y257" s="55" t="str">
        <f>IFERROR(Inv_SY!M259/Inv_SY!$Z259-1,"")</f>
        <v/>
      </c>
      <c r="Z257" s="55" t="str">
        <f>IFERROR(Inv_SY!N259/Inv_SY!$Z259-1,"")</f>
        <v/>
      </c>
      <c r="AA257" s="55" t="str">
        <f>IFERROR(Inv_SY!O259/Inv_SY!$Z259-1,"")</f>
        <v/>
      </c>
      <c r="AB257" s="55" t="str">
        <f>IFERROR(Inv_SY!P259/Inv_SY!$Z259-1,"")</f>
        <v/>
      </c>
      <c r="AC257" s="55" t="str">
        <f>IFERROR(Inv_SY!Q259/Inv_SY!$Z259-1,"")</f>
        <v/>
      </c>
      <c r="AD257" s="55" t="str">
        <f>IFERROR(Inv_SY!R259/Inv_SY!$Z259-1,"")</f>
        <v/>
      </c>
      <c r="AE257" s="55" t="str">
        <f>IFERROR(Inv_SY!S259/Inv_SY!$Z259-1,"")</f>
        <v/>
      </c>
      <c r="AF257" s="55" t="str">
        <f>IFERROR(Inv_SY!T259/Inv_SY!$Z259-1,"")</f>
        <v/>
      </c>
      <c r="AG257" s="55" t="str">
        <f>IFERROR(Inv_SY!U259/Inv_SY!$Z259-1,"")</f>
        <v/>
      </c>
      <c r="AH257" s="55" t="str">
        <f>IFERROR(Inv_SY!V259/Inv_SY!$Y259-1,"")</f>
        <v/>
      </c>
      <c r="AI257" s="55" t="str">
        <f>IFERROR(Inv_SY!W259/Inv_SY!$Y259-1,"")</f>
        <v/>
      </c>
      <c r="AJ257" s="55" t="str">
        <f>IFERROR(Inv_SY!X259/Inv_SY!$Y259-1,"")</f>
        <v/>
      </c>
      <c r="AK257" s="55" t="str">
        <f>IFERROR(Inv_SY!V259/Inv_SY!$Z259-1,"")</f>
        <v/>
      </c>
      <c r="AL257" s="55" t="str">
        <f>IFERROR(Inv_SY!W259/Inv_SY!$Z259-1,"")</f>
        <v/>
      </c>
      <c r="AM257" s="55" t="str">
        <f>IFERROR(Inv_SY!X259/Inv_SY!$Z259-1,"")</f>
        <v/>
      </c>
    </row>
    <row r="258" spans="1:39" x14ac:dyDescent="0.3">
      <c r="A258" s="276">
        <f>YEAR(Table5[[#This Row],[Date]])+IF(MONTH(Table5[[#This Row],[Date]])&gt;=4,1,0)</f>
        <v>2026</v>
      </c>
      <c r="B258" s="276"/>
      <c r="C258" s="276">
        <f>YEAR(Table5[[#This Row],[Date]])</f>
        <v>2025</v>
      </c>
      <c r="D258" s="276"/>
      <c r="E258" s="276"/>
      <c r="F258" s="277" t="str">
        <f>TEXT(Table5[[#This Row],[Date]],"mmm-yy")</f>
        <v>Dec-25</v>
      </c>
      <c r="G258" s="276">
        <f t="shared" si="11"/>
        <v>31</v>
      </c>
      <c r="H258" s="278">
        <f t="shared" si="12"/>
        <v>46001</v>
      </c>
      <c r="I258" s="276">
        <v>8.02</v>
      </c>
      <c r="J258" s="55" t="str">
        <f>IFERROR(Inv_SY!J260/Inv_SY!$Y260-1,"")</f>
        <v/>
      </c>
      <c r="K258" s="55" t="str">
        <f>IFERROR(Inv_SY!K260/Inv_SY!$Y260-1,"")</f>
        <v/>
      </c>
      <c r="L258" s="55" t="str">
        <f>IFERROR(Inv_SY!L260/Inv_SY!$Y260-1,"")</f>
        <v/>
      </c>
      <c r="M258" s="55" t="str">
        <f>IFERROR(Inv_SY!M260/Inv_SY!$Y260-1,"")</f>
        <v/>
      </c>
      <c r="N258" s="55" t="str">
        <f>IFERROR(Inv_SY!N260/Inv_SY!$Y260-1,"")</f>
        <v/>
      </c>
      <c r="O258" s="55" t="str">
        <f>IFERROR(Inv_SY!O260/Inv_SY!$Y260-1,"")</f>
        <v/>
      </c>
      <c r="P258" s="55" t="str">
        <f>IFERROR(Inv_SY!P260/Inv_SY!$Y260-1,"")</f>
        <v/>
      </c>
      <c r="Q258" s="55" t="str">
        <f>IFERROR(Inv_SY!Q260/Inv_SY!$Y260-1,"")</f>
        <v/>
      </c>
      <c r="R258" s="55" t="str">
        <f>IFERROR(Inv_SY!R260/Inv_SY!$Y260-1,"")</f>
        <v/>
      </c>
      <c r="S258" s="55" t="str">
        <f>IFERROR(Inv_SY!S260/Inv_SY!$Y260-1,"")</f>
        <v/>
      </c>
      <c r="T258" s="55" t="str">
        <f>IFERROR(Inv_SY!T260/Inv_SY!$Y260-1,"")</f>
        <v/>
      </c>
      <c r="U258" s="55" t="str">
        <f>IFERROR(Inv_SY!U260/Inv_SY!$Y260-1,"")</f>
        <v/>
      </c>
      <c r="V258" s="55" t="str">
        <f>IFERROR(Inv_SY!J260/Inv_SY!$Z260-1,"")</f>
        <v/>
      </c>
      <c r="W258" s="55" t="str">
        <f>IFERROR(Inv_SY!K260/Inv_SY!$Z260-1,"")</f>
        <v/>
      </c>
      <c r="X258" s="55" t="str">
        <f>IFERROR(Inv_SY!L260/Inv_SY!$Z260-1,"")</f>
        <v/>
      </c>
      <c r="Y258" s="55" t="str">
        <f>IFERROR(Inv_SY!M260/Inv_SY!$Z260-1,"")</f>
        <v/>
      </c>
      <c r="Z258" s="55" t="str">
        <f>IFERROR(Inv_SY!N260/Inv_SY!$Z260-1,"")</f>
        <v/>
      </c>
      <c r="AA258" s="55" t="str">
        <f>IFERROR(Inv_SY!O260/Inv_SY!$Z260-1,"")</f>
        <v/>
      </c>
      <c r="AB258" s="55" t="str">
        <f>IFERROR(Inv_SY!P260/Inv_SY!$Z260-1,"")</f>
        <v/>
      </c>
      <c r="AC258" s="55" t="str">
        <f>IFERROR(Inv_SY!Q260/Inv_SY!$Z260-1,"")</f>
        <v/>
      </c>
      <c r="AD258" s="55" t="str">
        <f>IFERROR(Inv_SY!R260/Inv_SY!$Z260-1,"")</f>
        <v/>
      </c>
      <c r="AE258" s="55" t="str">
        <f>IFERROR(Inv_SY!S260/Inv_SY!$Z260-1,"")</f>
        <v/>
      </c>
      <c r="AF258" s="55" t="str">
        <f>IFERROR(Inv_SY!T260/Inv_SY!$Z260-1,"")</f>
        <v/>
      </c>
      <c r="AG258" s="55" t="str">
        <f>IFERROR(Inv_SY!U260/Inv_SY!$Z260-1,"")</f>
        <v/>
      </c>
      <c r="AH258" s="55" t="str">
        <f>IFERROR(Inv_SY!V260/Inv_SY!$Y260-1,"")</f>
        <v/>
      </c>
      <c r="AI258" s="55" t="str">
        <f>IFERROR(Inv_SY!W260/Inv_SY!$Y260-1,"")</f>
        <v/>
      </c>
      <c r="AJ258" s="55" t="str">
        <f>IFERROR(Inv_SY!X260/Inv_SY!$Y260-1,"")</f>
        <v/>
      </c>
      <c r="AK258" s="55" t="str">
        <f>IFERROR(Inv_SY!V260/Inv_SY!$Z260-1,"")</f>
        <v/>
      </c>
      <c r="AL258" s="55" t="str">
        <f>IFERROR(Inv_SY!W260/Inv_SY!$Z260-1,"")</f>
        <v/>
      </c>
      <c r="AM258" s="55" t="str">
        <f>IFERROR(Inv_SY!X260/Inv_SY!$Z260-1,"")</f>
        <v/>
      </c>
    </row>
  </sheetData>
  <phoneticPr fontId="16" type="noConversion"/>
  <conditionalFormatting sqref="J2:J25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5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5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5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58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58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58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5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5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5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58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5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58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1F10-3449-4BF7-B1E0-FEA339D75442}">
  <dimension ref="A1:AP237"/>
  <sheetViews>
    <sheetView zoomScale="85" zoomScaleNormal="85" workbookViewId="0">
      <pane xSplit="8" ySplit="1" topLeftCell="AJ194" activePane="bottomRight" state="frozen"/>
      <selection activeCell="G149" sqref="G149"/>
      <selection pane="topRight" activeCell="G149" sqref="G149"/>
      <selection pane="bottomLeft" activeCell="G149" sqref="G149"/>
      <selection pane="bottomRight" activeCell="AK218" sqref="AK218"/>
    </sheetView>
  </sheetViews>
  <sheetFormatPr defaultColWidth="8.77734375" defaultRowHeight="14.4" x14ac:dyDescent="0.3"/>
  <cols>
    <col min="1" max="2" width="9" style="2" customWidth="1"/>
    <col min="3" max="3" width="9.77734375" customWidth="1"/>
    <col min="4" max="8" width="9" customWidth="1"/>
    <col min="9" max="10" width="10.21875" customWidth="1"/>
    <col min="11" max="11" width="9.5546875" bestFit="1" customWidth="1"/>
    <col min="12" max="15" width="9.5546875" customWidth="1"/>
    <col min="16" max="16" width="16" bestFit="1" customWidth="1"/>
    <col min="17" max="19" width="9.5546875" customWidth="1"/>
    <col min="20" max="20" width="18.77734375" bestFit="1" customWidth="1"/>
    <col min="21" max="21" width="11.21875" customWidth="1"/>
    <col min="22" max="22" width="15.44140625" customWidth="1"/>
    <col min="23" max="23" width="15.77734375" customWidth="1"/>
    <col min="24" max="24" width="43.21875" customWidth="1"/>
    <col min="25" max="25" width="19.77734375" customWidth="1"/>
    <col min="26" max="26" width="44.21875" customWidth="1"/>
    <col min="27" max="27" width="11" bestFit="1" customWidth="1"/>
    <col min="28" max="28" width="10" bestFit="1" customWidth="1"/>
    <col min="29" max="29" width="11" customWidth="1"/>
    <col min="30" max="30" width="13.21875" style="2" bestFit="1" customWidth="1"/>
    <col min="31" max="31" width="10.21875" style="2" customWidth="1"/>
    <col min="32" max="32" width="12.77734375" style="2" bestFit="1" customWidth="1"/>
    <col min="33" max="33" width="10.21875" style="2" customWidth="1"/>
    <col min="34" max="34" width="16.77734375" style="2" bestFit="1" customWidth="1"/>
    <col min="35" max="35" width="127" style="2" bestFit="1" customWidth="1"/>
    <col min="36" max="36" width="9.77734375" style="2" customWidth="1"/>
    <col min="37" max="37" width="14.77734375" style="2" bestFit="1" customWidth="1"/>
    <col min="38" max="38" width="13.21875" style="2" customWidth="1"/>
    <col min="39" max="39" width="10" customWidth="1"/>
  </cols>
  <sheetData>
    <row r="1" spans="1:42" ht="60" x14ac:dyDescent="0.3">
      <c r="A1" s="209" t="s">
        <v>57</v>
      </c>
      <c r="B1" s="210" t="s">
        <v>40</v>
      </c>
      <c r="C1" s="210" t="s">
        <v>1080</v>
      </c>
      <c r="D1" s="210" t="s">
        <v>1081</v>
      </c>
      <c r="E1" s="210" t="s">
        <v>1226</v>
      </c>
      <c r="F1" s="210" t="s">
        <v>56</v>
      </c>
      <c r="G1" s="210" t="s">
        <v>39</v>
      </c>
      <c r="H1" s="210" t="s">
        <v>54</v>
      </c>
      <c r="I1" s="210" t="s">
        <v>41</v>
      </c>
      <c r="J1" s="210" t="s">
        <v>42</v>
      </c>
      <c r="K1" s="210" t="s">
        <v>100</v>
      </c>
      <c r="L1" s="210" t="s">
        <v>1236</v>
      </c>
      <c r="M1" s="210" t="s">
        <v>1237</v>
      </c>
      <c r="N1" s="210" t="s">
        <v>1238</v>
      </c>
      <c r="O1" s="210" t="s">
        <v>1239</v>
      </c>
      <c r="P1" s="210" t="s">
        <v>1240</v>
      </c>
      <c r="Q1" s="210" t="s">
        <v>1241</v>
      </c>
      <c r="R1" s="210" t="s">
        <v>1242</v>
      </c>
      <c r="S1" s="210" t="s">
        <v>1243</v>
      </c>
      <c r="T1" s="210" t="s">
        <v>1228</v>
      </c>
      <c r="U1" s="210" t="s">
        <v>1229</v>
      </c>
      <c r="V1" s="210" t="s">
        <v>71</v>
      </c>
      <c r="W1" s="210" t="s">
        <v>1230</v>
      </c>
      <c r="X1" s="210" t="s">
        <v>1231</v>
      </c>
      <c r="Y1" s="210" t="s">
        <v>58</v>
      </c>
      <c r="Z1" s="210" t="s">
        <v>63</v>
      </c>
      <c r="AA1" s="210" t="s">
        <v>59</v>
      </c>
      <c r="AB1" s="210" t="s">
        <v>1232</v>
      </c>
      <c r="AC1" s="210" t="s">
        <v>60</v>
      </c>
      <c r="AD1" s="210" t="s">
        <v>1233</v>
      </c>
      <c r="AE1" s="210" t="s">
        <v>1234</v>
      </c>
      <c r="AF1" s="210" t="s">
        <v>61</v>
      </c>
      <c r="AG1" s="210" t="s">
        <v>62</v>
      </c>
      <c r="AH1" s="210" t="s">
        <v>99</v>
      </c>
      <c r="AI1" s="210" t="s">
        <v>64</v>
      </c>
      <c r="AJ1" s="210" t="s">
        <v>65</v>
      </c>
      <c r="AK1" s="210" t="s">
        <v>101</v>
      </c>
      <c r="AL1" s="210" t="s">
        <v>1227</v>
      </c>
      <c r="AM1" s="210" t="s">
        <v>1235</v>
      </c>
      <c r="AN1" s="210" t="s">
        <v>1179</v>
      </c>
      <c r="AO1" s="210" t="s">
        <v>1178</v>
      </c>
      <c r="AP1" s="211" t="s">
        <v>1244</v>
      </c>
    </row>
    <row r="2" spans="1:42" x14ac:dyDescent="0.3">
      <c r="A2" s="171">
        <v>1</v>
      </c>
      <c r="B2" s="200">
        <v>45745</v>
      </c>
      <c r="C2" s="212">
        <f>YEAR(Plant_BD[[#This Row],[Date]])+IF(MONTH(Plant_BD[[#This Row],[Date]])&gt;=4,1,0)</f>
        <v>2025</v>
      </c>
      <c r="D2" s="212">
        <f>YEAR(Plant_BD[[#This Row],[Date]])</f>
        <v>2025</v>
      </c>
      <c r="E2" s="77" t="s">
        <v>1070</v>
      </c>
      <c r="F2" s="77" t="s">
        <v>1070</v>
      </c>
      <c r="G2" s="213">
        <f>Plant_BD[[#This Row],[Date]]-DAY(Plant_BD[[#This Row],[Date]])+1</f>
        <v>45717</v>
      </c>
      <c r="H2" s="3">
        <f>DAY(EOMONTH(Plant_BD[[#This Row],[Month Year]],0))</f>
        <v>31</v>
      </c>
      <c r="I2" s="214">
        <f>_xlfn.XLOOKUP(Plant_BD[[#This Row],[Date]],'Raw Data'!$G:$G,'Raw Data'!$I:$I)</f>
        <v>0.2638888888888889</v>
      </c>
      <c r="J2" s="214">
        <f>_xlfn.XLOOKUP(Plant_BD[[#This Row],[Date]],'Raw Data'!$G:$G,'Raw Data'!$J:$J)</f>
        <v>0.76736111111111116</v>
      </c>
      <c r="K2" s="215">
        <f>IFERROR((Plant_BD[[#This Row],[Sunset Time (POA&lt;20 W/m2)]]-Plant_BD[[#This Row],[Sunrise Time (POA&gt;20 W/m2)]])*24,"")</f>
        <v>12.083333333333336</v>
      </c>
      <c r="L2" s="215"/>
      <c r="M2" s="215"/>
      <c r="N2" s="215"/>
      <c r="O2" s="215"/>
      <c r="P2" s="215"/>
      <c r="Q2" s="215"/>
      <c r="R2" s="215"/>
      <c r="S2" s="215"/>
      <c r="T2" s="216" t="s">
        <v>219</v>
      </c>
      <c r="U2" s="16">
        <f>IFERROR(_xlfn.XLOOKUP(Plant_BD[[#This Row],[Affected Equipment]],'Basic Data'!$A:$A,'Basic Data'!$B:$B),"")</f>
        <v>669.6</v>
      </c>
      <c r="V2" s="244">
        <f>IFERROR(_xlfn.XLOOKUP(Plant_BD[[#This Row],[Affected Equipment]],'Basic Data'!$A:$A,'Basic Data'!$C:$C),"")</f>
        <v>8.348190352703562E-2</v>
      </c>
      <c r="W2" s="218" t="s">
        <v>311</v>
      </c>
      <c r="X2" s="218" t="s">
        <v>1076</v>
      </c>
      <c r="Y2" s="218"/>
      <c r="Z2" s="219" t="s">
        <v>1076</v>
      </c>
      <c r="AA2" s="220">
        <v>0.2638888888888889</v>
      </c>
      <c r="AB2" s="220"/>
      <c r="AC2" s="220"/>
      <c r="AD2" s="220">
        <v>0.41249999999999998</v>
      </c>
      <c r="AE2" s="221">
        <f>IF(Plant_BD[[#This Row],[Acknowledgement Time ]]="NA","",(Plant_BD[[#This Row],[Acknowledgement Time ]]-Plant_BD[[#This Row],[Fault Time]])*24)</f>
        <v>-6.3333333333333339</v>
      </c>
      <c r="AF2" s="221">
        <f>IF(Plant_BD[[#This Row],[Work Start time on Fault]]="NA","",(Plant_BD[[#This Row],[Work Start time on Fault]]-Plant_BD[[#This Row],[Fault Time]])*24)</f>
        <v>-6.3333333333333339</v>
      </c>
      <c r="AG2" s="17">
        <f>(Plant_BD[[#This Row],[Work Completion time on fault]]-Plant_BD[[#This Row],[Fault Time]])*24</f>
        <v>3.566666666666666</v>
      </c>
      <c r="AH2" s="17">
        <f>IFERROR((Plant_BD[[#This Row],[Work Completion time on fault]]-Plant_BD[[#This Row],[Fault Time]])*24,"")</f>
        <v>3.566666666666666</v>
      </c>
      <c r="AI2" s="222" t="s">
        <v>1072</v>
      </c>
      <c r="AJ2" s="6" t="s">
        <v>1068</v>
      </c>
      <c r="AK2" s="223">
        <f>IFERROR(Plant_BD[[#This Row],[Breakdown Time]]*Plant_BD[[#This Row],[Plant Equivalent Weightage]],"")</f>
        <v>0.2977521225797603</v>
      </c>
      <c r="AL2" s="6">
        <v>0.94</v>
      </c>
      <c r="AM2" s="221">
        <f>_xlfn.XLOOKUP($G2,'Modelling New'!$D:$D,'Modelling New'!$O:$O)*Plant_BD[[#This Row],[Lost PoA(kWh/m2)]]*Plant_BD[[#This Row],[DC Capacity Affected (kW)]]</f>
        <v>449.12657874418562</v>
      </c>
      <c r="AN2" s="6"/>
      <c r="AO2" s="6"/>
      <c r="AP2" s="224"/>
    </row>
    <row r="3" spans="1:42" x14ac:dyDescent="0.3">
      <c r="A3" s="171">
        <f>A2+1</f>
        <v>2</v>
      </c>
      <c r="B3" s="200">
        <v>45745</v>
      </c>
      <c r="C3" s="212">
        <f>YEAR(Plant_BD[[#This Row],[Date]])+IF(MONTH(Plant_BD[[#This Row],[Date]])&gt;=4,1,0)</f>
        <v>2025</v>
      </c>
      <c r="D3" s="212">
        <f>YEAR(Plant_BD[[#This Row],[Date]])</f>
        <v>2025</v>
      </c>
      <c r="E3" s="77" t="s">
        <v>1070</v>
      </c>
      <c r="F3" s="77" t="s">
        <v>1070</v>
      </c>
      <c r="G3" s="213">
        <f>Plant_BD[[#This Row],[Date]]-DAY(Plant_BD[[#This Row],[Date]])+1</f>
        <v>45717</v>
      </c>
      <c r="H3" s="3">
        <f>DAY(EOMONTH(Plant_BD[[#This Row],[Month Year]],0))</f>
        <v>31</v>
      </c>
      <c r="I3" s="214">
        <f>_xlfn.XLOOKUP(Plant_BD[[#This Row],[Date]],'Raw Data'!$G:$G,'Raw Data'!$I:$I)</f>
        <v>0.2638888888888889</v>
      </c>
      <c r="J3" s="214">
        <f>_xlfn.XLOOKUP(Plant_BD[[#This Row],[Date]],'Raw Data'!$G:$G,'Raw Data'!$J:$J)</f>
        <v>0.76736111111111116</v>
      </c>
      <c r="K3" s="215">
        <f>IFERROR((Plant_BD[[#This Row],[Sunset Time (POA&lt;20 W/m2)]]-Plant_BD[[#This Row],[Sunrise Time (POA&gt;20 W/m2)]])*24,"")</f>
        <v>12.083333333333336</v>
      </c>
      <c r="L3" s="215"/>
      <c r="M3" s="215"/>
      <c r="N3" s="215"/>
      <c r="O3" s="215"/>
      <c r="P3" s="215"/>
      <c r="Q3" s="215"/>
      <c r="R3" s="215"/>
      <c r="S3" s="215"/>
      <c r="T3" s="216" t="s">
        <v>226</v>
      </c>
      <c r="U3" s="16">
        <f>IFERROR(_xlfn.XLOOKUP(Plant_BD[[#This Row],[Affected Equipment]],'Basic Data'!$A:$A,'Basic Data'!$B:$B),"")</f>
        <v>658.8</v>
      </c>
      <c r="V3" s="217">
        <f>IFERROR(_xlfn.XLOOKUP(Plant_BD[[#This Row],[Affected Equipment]],'Basic Data'!$A:$A,'Basic Data'!$C:$C),"")</f>
        <v>8.2135421212083434E-2</v>
      </c>
      <c r="W3" s="218" t="s">
        <v>291</v>
      </c>
      <c r="X3" s="218" t="s">
        <v>1075</v>
      </c>
      <c r="Y3" s="218"/>
      <c r="Z3" s="219" t="s">
        <v>1075</v>
      </c>
      <c r="AA3" s="220">
        <v>0.2638888888888889</v>
      </c>
      <c r="AB3" s="220"/>
      <c r="AC3" s="220"/>
      <c r="AD3" s="220">
        <v>0.76736111111111116</v>
      </c>
      <c r="AE3" s="221">
        <f>IF(Plant_BD[[#This Row],[Acknowledgement Time ]]="NA","",(Plant_BD[[#This Row],[Acknowledgement Time ]]-Plant_BD[[#This Row],[Fault Time]])*24)</f>
        <v>-6.3333333333333339</v>
      </c>
      <c r="AF3" s="221">
        <f>IF(Plant_BD[[#This Row],[Work Start time on Fault]]="NA","",(Plant_BD[[#This Row],[Work Start time on Fault]]-Plant_BD[[#This Row],[Fault Time]])*24)</f>
        <v>-6.3333333333333339</v>
      </c>
      <c r="AG3" s="17">
        <f>(Plant_BD[[#This Row],[Work Completion time on fault]]-Plant_BD[[#This Row],[Fault Time]])*24</f>
        <v>12.083333333333336</v>
      </c>
      <c r="AH3" s="17">
        <f>IFERROR((Plant_BD[[#This Row],[Work Completion time on fault]]-Plant_BD[[#This Row],[Fault Time]])*24,"")</f>
        <v>12.083333333333336</v>
      </c>
      <c r="AI3" s="222" t="s">
        <v>1072</v>
      </c>
      <c r="AJ3" s="6" t="s">
        <v>1068</v>
      </c>
      <c r="AK3" s="223">
        <f>IFERROR(Plant_BD[[#This Row],[Breakdown Time]]*Plant_BD[[#This Row],[Plant Equivalent Weightage]],"")</f>
        <v>0.99246967297934174</v>
      </c>
      <c r="AL3" s="6">
        <v>5.53</v>
      </c>
      <c r="AM3" s="221">
        <f>_xlfn.XLOOKUP($G3,'Modelling New'!$D:$D,'Modelling New'!$O:$O)*Plant_BD[[#This Row],[Lost PoA(kWh/m2)]]*Plant_BD[[#This Row],[DC Capacity Affected (kW)]]</f>
        <v>2599.5859438533998</v>
      </c>
      <c r="AN3" s="6"/>
      <c r="AO3" s="6"/>
      <c r="AP3" s="224"/>
    </row>
    <row r="4" spans="1:42" x14ac:dyDescent="0.3">
      <c r="A4" s="171">
        <f t="shared" ref="A4:A67" si="0">A3+1</f>
        <v>3</v>
      </c>
      <c r="B4" s="200">
        <v>45745</v>
      </c>
      <c r="C4" s="212">
        <f>YEAR(Plant_BD[[#This Row],[Date]])+IF(MONTH(Plant_BD[[#This Row],[Date]])&gt;=4,1,0)</f>
        <v>2025</v>
      </c>
      <c r="D4" s="212">
        <f>YEAR(Plant_BD[[#This Row],[Date]])</f>
        <v>2025</v>
      </c>
      <c r="E4" s="77" t="s">
        <v>1070</v>
      </c>
      <c r="F4" s="77" t="s">
        <v>1070</v>
      </c>
      <c r="G4" s="213">
        <f>Plant_BD[[#This Row],[Date]]-DAY(Plant_BD[[#This Row],[Date]])+1</f>
        <v>45717</v>
      </c>
      <c r="H4" s="3">
        <f>DAY(EOMONTH(Plant_BD[[#This Row],[Month Year]],0))</f>
        <v>31</v>
      </c>
      <c r="I4" s="214">
        <f>_xlfn.XLOOKUP(Plant_BD[[#This Row],[Date]],'Raw Data'!$G:$G,'Raw Data'!$I:$I)</f>
        <v>0.2638888888888889</v>
      </c>
      <c r="J4" s="214">
        <f>_xlfn.XLOOKUP(Plant_BD[[#This Row],[Date]],'Raw Data'!$G:$G,'Raw Data'!$J:$J)</f>
        <v>0.76736111111111116</v>
      </c>
      <c r="K4" s="215">
        <f>IFERROR((Plant_BD[[#This Row],[Sunset Time (POA&lt;20 W/m2)]]-Plant_BD[[#This Row],[Sunrise Time (POA&gt;20 W/m2)]])*24,"")</f>
        <v>12.083333333333336</v>
      </c>
      <c r="L4" s="215"/>
      <c r="M4" s="215"/>
      <c r="N4" s="215"/>
      <c r="O4" s="215"/>
      <c r="P4" s="215"/>
      <c r="Q4" s="215"/>
      <c r="R4" s="215"/>
      <c r="S4" s="215"/>
      <c r="T4" s="216" t="s">
        <v>168</v>
      </c>
      <c r="U4" s="16">
        <f>IFERROR(_xlfn.XLOOKUP(Plant_BD[[#This Row],[Affected Equipment]],'Basic Data'!$A:$A,'Basic Data'!$B:$B),"")</f>
        <v>2694.6</v>
      </c>
      <c r="V4" s="217">
        <f>IFERROR(_xlfn.XLOOKUP(Plant_BD[[#This Row],[Affected Equipment]],'Basic Data'!$A:$A,'Basic Data'!$C:$C),"")</f>
        <v>0.33594733758057077</v>
      </c>
      <c r="W4" s="218" t="s">
        <v>311</v>
      </c>
      <c r="X4" s="218" t="s">
        <v>1073</v>
      </c>
      <c r="Y4" s="218"/>
      <c r="Z4" s="219" t="s">
        <v>1077</v>
      </c>
      <c r="AA4" s="220">
        <v>0.41249999999999998</v>
      </c>
      <c r="AB4" s="220"/>
      <c r="AC4" s="220"/>
      <c r="AD4" s="220">
        <v>0.41736111111111113</v>
      </c>
      <c r="AE4" s="221">
        <f>IF(Plant_BD[[#This Row],[Acknowledgement Time ]]="NA","",(Plant_BD[[#This Row],[Acknowledgement Time ]]-Plant_BD[[#This Row],[Fault Time]])*24)</f>
        <v>-9.8999999999999986</v>
      </c>
      <c r="AF4" s="221">
        <f>IF(Plant_BD[[#This Row],[Work Start time on Fault]]="NA","",(Plant_BD[[#This Row],[Work Start time on Fault]]-Plant_BD[[#This Row],[Fault Time]])*24)</f>
        <v>-9.8999999999999986</v>
      </c>
      <c r="AG4" s="17">
        <f>(Plant_BD[[#This Row],[Work Completion time on fault]]-Plant_BD[[#This Row],[Fault Time]])*24</f>
        <v>0.11666666666666758</v>
      </c>
      <c r="AH4" s="17">
        <f>IFERROR((Plant_BD[[#This Row],[Work Completion time on fault]]-Plant_BD[[#This Row],[Fault Time]])*24,"")</f>
        <v>0.11666666666666758</v>
      </c>
      <c r="AI4" s="222" t="s">
        <v>1074</v>
      </c>
      <c r="AJ4" s="6" t="s">
        <v>1069</v>
      </c>
      <c r="AK4" s="223">
        <f>IFERROR(Plant_BD[[#This Row],[Breakdown Time]]*Plant_BD[[#This Row],[Plant Equivalent Weightage]],"")</f>
        <v>3.91938560510669E-2</v>
      </c>
      <c r="AL4" s="6">
        <v>0.08</v>
      </c>
      <c r="AM4" s="221">
        <f>_xlfn.XLOOKUP($G4,'Modelling New'!$D:$D,'Modelling New'!$O:$O)*Plant_BD[[#This Row],[Lost PoA(kWh/m2)]]*Plant_BD[[#This Row],[DC Capacity Affected (kW)]]</f>
        <v>153.81891749715075</v>
      </c>
      <c r="AN4" s="6"/>
      <c r="AO4" s="6"/>
      <c r="AP4" s="224"/>
    </row>
    <row r="5" spans="1:42" x14ac:dyDescent="0.3">
      <c r="A5" s="171">
        <f t="shared" si="0"/>
        <v>4</v>
      </c>
      <c r="B5" s="200">
        <v>45745</v>
      </c>
      <c r="C5" s="212">
        <f>YEAR(Plant_BD[[#This Row],[Date]])+IF(MONTH(Plant_BD[[#This Row],[Date]])&gt;=4,1,0)</f>
        <v>2025</v>
      </c>
      <c r="D5" s="212">
        <f>YEAR(Plant_BD[[#This Row],[Date]])</f>
        <v>2025</v>
      </c>
      <c r="E5" s="77" t="s">
        <v>1070</v>
      </c>
      <c r="F5" s="77" t="s">
        <v>1070</v>
      </c>
      <c r="G5" s="213">
        <f>Plant_BD[[#This Row],[Date]]-DAY(Plant_BD[[#This Row],[Date]])+1</f>
        <v>45717</v>
      </c>
      <c r="H5" s="3">
        <f>DAY(EOMONTH(Plant_BD[[#This Row],[Month Year]],0))</f>
        <v>31</v>
      </c>
      <c r="I5" s="214">
        <f>_xlfn.XLOOKUP(Plant_BD[[#This Row],[Date]],'Raw Data'!$G:$G,'Raw Data'!$I:$I)</f>
        <v>0.2638888888888889</v>
      </c>
      <c r="J5" s="214">
        <f>_xlfn.XLOOKUP(Plant_BD[[#This Row],[Date]],'Raw Data'!$G:$G,'Raw Data'!$J:$J)</f>
        <v>0.76736111111111116</v>
      </c>
      <c r="K5" s="215">
        <f>IFERROR((Plant_BD[[#This Row],[Sunset Time (POA&lt;20 W/m2)]]-Plant_BD[[#This Row],[Sunrise Time (POA&gt;20 W/m2)]])*24,"")</f>
        <v>12.083333333333336</v>
      </c>
      <c r="L5" s="215"/>
      <c r="M5" s="215"/>
      <c r="N5" s="215"/>
      <c r="O5" s="215"/>
      <c r="P5" s="215"/>
      <c r="Q5" s="215"/>
      <c r="R5" s="215"/>
      <c r="S5" s="215"/>
      <c r="T5" s="216" t="s">
        <v>219</v>
      </c>
      <c r="U5" s="16">
        <f>IFERROR(_xlfn.XLOOKUP(Plant_BD[[#This Row],[Affected Equipment]],'Basic Data'!$A:$A,'Basic Data'!$B:$B),"")</f>
        <v>669.6</v>
      </c>
      <c r="V5" s="217">
        <f>IFERROR(_xlfn.XLOOKUP(Plant_BD[[#This Row],[Affected Equipment]],'Basic Data'!$A:$A,'Basic Data'!$C:$C),"")</f>
        <v>8.348190352703562E-2</v>
      </c>
      <c r="W5" s="218" t="s">
        <v>311</v>
      </c>
      <c r="X5" s="218" t="s">
        <v>1076</v>
      </c>
      <c r="Y5" s="218"/>
      <c r="Z5" s="219" t="s">
        <v>1076</v>
      </c>
      <c r="AA5" s="220">
        <v>0.41736111111111113</v>
      </c>
      <c r="AB5" s="220"/>
      <c r="AC5" s="220"/>
      <c r="AD5" s="220">
        <v>0.42708333333333331</v>
      </c>
      <c r="AE5" s="221">
        <f>IF(Plant_BD[[#This Row],[Acknowledgement Time ]]="NA","",(Plant_BD[[#This Row],[Acknowledgement Time ]]-Plant_BD[[#This Row],[Fault Time]])*24)</f>
        <v>-10.016666666666667</v>
      </c>
      <c r="AF5" s="221">
        <f>IF(Plant_BD[[#This Row],[Work Start time on Fault]]="NA","",(Plant_BD[[#This Row],[Work Start time on Fault]]-Plant_BD[[#This Row],[Fault Time]])*24)</f>
        <v>-10.016666666666667</v>
      </c>
      <c r="AG5" s="17">
        <f>(Plant_BD[[#This Row],[Work Completion time on fault]]-Plant_BD[[#This Row],[Fault Time]])*24</f>
        <v>0.2333333333333325</v>
      </c>
      <c r="AH5" s="17">
        <f>IFERROR((Plant_BD[[#This Row],[Work Completion time on fault]]-Plant_BD[[#This Row],[Fault Time]])*24,"")</f>
        <v>0.2333333333333325</v>
      </c>
      <c r="AI5" s="222" t="s">
        <v>1072</v>
      </c>
      <c r="AJ5" s="6" t="s">
        <v>1068</v>
      </c>
      <c r="AK5" s="223">
        <f>IFERROR(Plant_BD[[#This Row],[Breakdown Time]]*Plant_BD[[#This Row],[Plant Equivalent Weightage]],"")</f>
        <v>1.9479110822974908E-2</v>
      </c>
      <c r="AL5" s="6">
        <v>0.16</v>
      </c>
      <c r="AM5" s="221">
        <f>_xlfn.XLOOKUP($G5,'Modelling New'!$D:$D,'Modelling New'!$O:$O)*Plant_BD[[#This Row],[Lost PoA(kWh/m2)]]*Plant_BD[[#This Row],[DC Capacity Affected (kW)]]</f>
        <v>76.44707723305288</v>
      </c>
      <c r="AN5" s="6"/>
      <c r="AO5" s="6"/>
      <c r="AP5" s="224"/>
    </row>
    <row r="6" spans="1:42" x14ac:dyDescent="0.3">
      <c r="A6" s="171">
        <f t="shared" si="0"/>
        <v>5</v>
      </c>
      <c r="B6" s="200">
        <v>45745</v>
      </c>
      <c r="C6" s="212">
        <f>YEAR(Plant_BD[[#This Row],[Date]])+IF(MONTH(Plant_BD[[#This Row],[Date]])&gt;=4,1,0)</f>
        <v>2025</v>
      </c>
      <c r="D6" s="212">
        <f>YEAR(Plant_BD[[#This Row],[Date]])</f>
        <v>2025</v>
      </c>
      <c r="E6" s="77" t="s">
        <v>1070</v>
      </c>
      <c r="F6" s="77" t="s">
        <v>1070</v>
      </c>
      <c r="G6" s="213">
        <f>Plant_BD[[#This Row],[Date]]-DAY(Plant_BD[[#This Row],[Date]])+1</f>
        <v>45717</v>
      </c>
      <c r="H6" s="3">
        <f>DAY(EOMONTH(Plant_BD[[#This Row],[Month Year]],0))</f>
        <v>31</v>
      </c>
      <c r="I6" s="214">
        <f>_xlfn.XLOOKUP(Plant_BD[[#This Row],[Date]],'Raw Data'!$G:$G,'Raw Data'!$I:$I)</f>
        <v>0.2638888888888889</v>
      </c>
      <c r="J6" s="214">
        <f>_xlfn.XLOOKUP(Plant_BD[[#This Row],[Date]],'Raw Data'!$G:$G,'Raw Data'!$J:$J)</f>
        <v>0.76736111111111116</v>
      </c>
      <c r="K6" s="215">
        <f>IFERROR((Plant_BD[[#This Row],[Sunset Time (POA&lt;20 W/m2)]]-Plant_BD[[#This Row],[Sunrise Time (POA&gt;20 W/m2)]])*24,"")</f>
        <v>12.083333333333336</v>
      </c>
      <c r="L6" s="215"/>
      <c r="M6" s="215"/>
      <c r="N6" s="215"/>
      <c r="O6" s="215"/>
      <c r="P6" s="215"/>
      <c r="Q6" s="215"/>
      <c r="R6" s="215"/>
      <c r="S6" s="215"/>
      <c r="T6" s="216" t="s">
        <v>168</v>
      </c>
      <c r="U6" s="16">
        <f>IFERROR(_xlfn.XLOOKUP(Plant_BD[[#This Row],[Affected Equipment]],'Basic Data'!$A:$A,'Basic Data'!$B:$B),"")</f>
        <v>2694.6</v>
      </c>
      <c r="V6" s="217">
        <f>IFERROR(_xlfn.XLOOKUP(Plant_BD[[#This Row],[Affected Equipment]],'Basic Data'!$A:$A,'Basic Data'!$C:$C),"")</f>
        <v>0.33594733758057077</v>
      </c>
      <c r="W6" s="218" t="s">
        <v>311</v>
      </c>
      <c r="X6" s="218" t="s">
        <v>1073</v>
      </c>
      <c r="Y6" s="218"/>
      <c r="Z6" s="219" t="s">
        <v>1077</v>
      </c>
      <c r="AA6" s="220">
        <v>0.42708333333333331</v>
      </c>
      <c r="AB6" s="220"/>
      <c r="AC6" s="220"/>
      <c r="AD6" s="220">
        <v>0.43125000000000002</v>
      </c>
      <c r="AE6" s="221">
        <f>IF(Plant_BD[[#This Row],[Acknowledgement Time ]]="NA","",(Plant_BD[[#This Row],[Acknowledgement Time ]]-Plant_BD[[#This Row],[Fault Time]])*24)</f>
        <v>-10.25</v>
      </c>
      <c r="AF6" s="221">
        <f>IF(Plant_BD[[#This Row],[Work Start time on Fault]]="NA","",(Plant_BD[[#This Row],[Work Start time on Fault]]-Plant_BD[[#This Row],[Fault Time]])*24)</f>
        <v>-10.25</v>
      </c>
      <c r="AG6" s="17">
        <f>(Plant_BD[[#This Row],[Work Completion time on fault]]-Plant_BD[[#This Row],[Fault Time]])*24</f>
        <v>0.10000000000000098</v>
      </c>
      <c r="AH6" s="17">
        <f>IFERROR((Plant_BD[[#This Row],[Work Completion time on fault]]-Plant_BD[[#This Row],[Fault Time]])*24,"")</f>
        <v>0.10000000000000098</v>
      </c>
      <c r="AI6" s="222" t="s">
        <v>1074</v>
      </c>
      <c r="AJ6" s="6" t="s">
        <v>1069</v>
      </c>
      <c r="AK6" s="223">
        <f>IFERROR(Plant_BD[[#This Row],[Breakdown Time]]*Plant_BD[[#This Row],[Plant Equivalent Weightage]],"")</f>
        <v>3.3594733758057403E-2</v>
      </c>
      <c r="AL6" s="6">
        <v>0.08</v>
      </c>
      <c r="AM6" s="221">
        <f>_xlfn.XLOOKUP($G6,'Modelling New'!$D:$D,'Modelling New'!$O:$O)*Plant_BD[[#This Row],[Lost PoA(kWh/m2)]]*Plant_BD[[#This Row],[DC Capacity Affected (kW)]]</f>
        <v>153.81891749715075</v>
      </c>
      <c r="AN6" s="6"/>
      <c r="AO6" s="6"/>
      <c r="AP6" s="224"/>
    </row>
    <row r="7" spans="1:42" x14ac:dyDescent="0.3">
      <c r="A7" s="171">
        <f t="shared" si="0"/>
        <v>6</v>
      </c>
      <c r="B7" s="200">
        <v>45745</v>
      </c>
      <c r="C7" s="212">
        <f>YEAR(Plant_BD[[#This Row],[Date]])+IF(MONTH(Plant_BD[[#This Row],[Date]])&gt;=4,1,0)</f>
        <v>2025</v>
      </c>
      <c r="D7" s="212">
        <f>YEAR(Plant_BD[[#This Row],[Date]])</f>
        <v>2025</v>
      </c>
      <c r="E7" s="77" t="s">
        <v>1070</v>
      </c>
      <c r="F7" s="77" t="s">
        <v>1070</v>
      </c>
      <c r="G7" s="213">
        <f>Plant_BD[[#This Row],[Date]]-DAY(Plant_BD[[#This Row],[Date]])+1</f>
        <v>45717</v>
      </c>
      <c r="H7" s="3">
        <f>DAY(EOMONTH(Plant_BD[[#This Row],[Month Year]],0))</f>
        <v>31</v>
      </c>
      <c r="I7" s="214">
        <f>_xlfn.XLOOKUP(Plant_BD[[#This Row],[Date]],'Raw Data'!$G:$G,'Raw Data'!$I:$I)</f>
        <v>0.2638888888888889</v>
      </c>
      <c r="J7" s="214">
        <f>_xlfn.XLOOKUP(Plant_BD[[#This Row],[Date]],'Raw Data'!$G:$G,'Raw Data'!$J:$J)</f>
        <v>0.76736111111111116</v>
      </c>
      <c r="K7" s="215">
        <f>IFERROR((Plant_BD[[#This Row],[Sunset Time (POA&lt;20 W/m2)]]-Plant_BD[[#This Row],[Sunrise Time (POA&gt;20 W/m2)]])*24,"")</f>
        <v>12.083333333333336</v>
      </c>
      <c r="L7" s="215"/>
      <c r="M7" s="215"/>
      <c r="N7" s="215"/>
      <c r="O7" s="215"/>
      <c r="P7" s="215"/>
      <c r="Q7" s="215"/>
      <c r="R7" s="215"/>
      <c r="S7" s="215"/>
      <c r="T7" s="216" t="s">
        <v>219</v>
      </c>
      <c r="U7" s="16">
        <f>IFERROR(_xlfn.XLOOKUP(Plant_BD[[#This Row],[Affected Equipment]],'Basic Data'!$A:$A,'Basic Data'!$B:$B),"")</f>
        <v>669.6</v>
      </c>
      <c r="V7" s="217">
        <f>IFERROR(_xlfn.XLOOKUP(Plant_BD[[#This Row],[Affected Equipment]],'Basic Data'!$A:$A,'Basic Data'!$C:$C),"")</f>
        <v>8.348190352703562E-2</v>
      </c>
      <c r="W7" s="218" t="s">
        <v>311</v>
      </c>
      <c r="X7" s="218" t="s">
        <v>1076</v>
      </c>
      <c r="Y7" s="218"/>
      <c r="Z7" s="219" t="s">
        <v>1076</v>
      </c>
      <c r="AA7" s="220">
        <v>0.43125000000000002</v>
      </c>
      <c r="AB7" s="220"/>
      <c r="AC7" s="220"/>
      <c r="AD7" s="220">
        <v>0.52986111111111112</v>
      </c>
      <c r="AE7" s="221">
        <f>IF(Plant_BD[[#This Row],[Acknowledgement Time ]]="NA","",(Plant_BD[[#This Row],[Acknowledgement Time ]]-Plant_BD[[#This Row],[Fault Time]])*24)</f>
        <v>-10.350000000000001</v>
      </c>
      <c r="AF7" s="221">
        <f>IF(Plant_BD[[#This Row],[Work Start time on Fault]]="NA","",(Plant_BD[[#This Row],[Work Start time on Fault]]-Plant_BD[[#This Row],[Fault Time]])*24)</f>
        <v>-10.350000000000001</v>
      </c>
      <c r="AG7" s="17">
        <f>(Plant_BD[[#This Row],[Work Completion time on fault]]-Plant_BD[[#This Row],[Fault Time]])*24</f>
        <v>2.3666666666666663</v>
      </c>
      <c r="AH7" s="17">
        <f>IFERROR((Plant_BD[[#This Row],[Work Completion time on fault]]-Plant_BD[[#This Row],[Fault Time]])*24,"")</f>
        <v>2.3666666666666663</v>
      </c>
      <c r="AI7" s="222" t="s">
        <v>1072</v>
      </c>
      <c r="AJ7" s="6" t="s">
        <v>1068</v>
      </c>
      <c r="AK7" s="223">
        <f>IFERROR(Plant_BD[[#This Row],[Breakdown Time]]*Plant_BD[[#This Row],[Plant Equivalent Weightage]],"")</f>
        <v>0.19757383834731759</v>
      </c>
      <c r="AL7" s="6">
        <v>1.99</v>
      </c>
      <c r="AM7" s="221">
        <f>_xlfn.XLOOKUP($G7,'Modelling New'!$D:$D,'Modelling New'!$O:$O)*Plant_BD[[#This Row],[Lost PoA(kWh/m2)]]*Plant_BD[[#This Row],[DC Capacity Affected (kW)]]</f>
        <v>950.81052308609515</v>
      </c>
      <c r="AN7" s="6"/>
      <c r="AO7" s="6"/>
      <c r="AP7" s="224"/>
    </row>
    <row r="8" spans="1:42" x14ac:dyDescent="0.3">
      <c r="A8" s="171">
        <f t="shared" si="0"/>
        <v>7</v>
      </c>
      <c r="B8" s="200">
        <v>45745</v>
      </c>
      <c r="C8" s="212">
        <f>YEAR(Plant_BD[[#This Row],[Date]])+IF(MONTH(Plant_BD[[#This Row],[Date]])&gt;=4,1,0)</f>
        <v>2025</v>
      </c>
      <c r="D8" s="212">
        <f>YEAR(Plant_BD[[#This Row],[Date]])</f>
        <v>2025</v>
      </c>
      <c r="E8" s="77" t="s">
        <v>1070</v>
      </c>
      <c r="F8" s="77" t="s">
        <v>1070</v>
      </c>
      <c r="G8" s="213">
        <f>Plant_BD[[#This Row],[Date]]-DAY(Plant_BD[[#This Row],[Date]])+1</f>
        <v>45717</v>
      </c>
      <c r="H8" s="3">
        <f>DAY(EOMONTH(Plant_BD[[#This Row],[Month Year]],0))</f>
        <v>31</v>
      </c>
      <c r="I8" s="214">
        <f>_xlfn.XLOOKUP(Plant_BD[[#This Row],[Date]],'Raw Data'!$G:$G,'Raw Data'!$I:$I)</f>
        <v>0.2638888888888889</v>
      </c>
      <c r="J8" s="214">
        <f>_xlfn.XLOOKUP(Plant_BD[[#This Row],[Date]],'Raw Data'!$G:$G,'Raw Data'!$J:$J)</f>
        <v>0.76736111111111116</v>
      </c>
      <c r="K8" s="215">
        <f>IFERROR((Plant_BD[[#This Row],[Sunset Time (POA&lt;20 W/m2)]]-Plant_BD[[#This Row],[Sunrise Time (POA&gt;20 W/m2)]])*24,"")</f>
        <v>12.083333333333336</v>
      </c>
      <c r="L8" s="215"/>
      <c r="M8" s="215"/>
      <c r="N8" s="215"/>
      <c r="O8" s="215"/>
      <c r="P8" s="215"/>
      <c r="Q8" s="215"/>
      <c r="R8" s="215"/>
      <c r="S8" s="215"/>
      <c r="T8" s="216" t="s">
        <v>220</v>
      </c>
      <c r="U8" s="16">
        <f>IFERROR(_xlfn.XLOOKUP(Plant_BD[[#This Row],[Affected Equipment]],'Basic Data'!$A:$A,'Basic Data'!$B:$B),"")</f>
        <v>669.6</v>
      </c>
      <c r="V8" s="217">
        <f>IFERROR(_xlfn.XLOOKUP(Plant_BD[[#This Row],[Affected Equipment]],'Basic Data'!$A:$A,'Basic Data'!$C:$C),"")</f>
        <v>8.348190352703562E-2</v>
      </c>
      <c r="W8" s="218" t="s">
        <v>311</v>
      </c>
      <c r="X8" s="218" t="s">
        <v>1078</v>
      </c>
      <c r="Y8" s="218"/>
      <c r="Z8" s="219" t="s">
        <v>1078</v>
      </c>
      <c r="AA8" s="220">
        <v>0.43125000000000002</v>
      </c>
      <c r="AB8" s="220"/>
      <c r="AC8" s="220"/>
      <c r="AD8" s="220">
        <v>0.52986111111111112</v>
      </c>
      <c r="AE8" s="221">
        <f>IF(Plant_BD[[#This Row],[Acknowledgement Time ]]="NA","",(Plant_BD[[#This Row],[Acknowledgement Time ]]-Plant_BD[[#This Row],[Fault Time]])*24)</f>
        <v>-10.350000000000001</v>
      </c>
      <c r="AF8" s="221">
        <f>IF(Plant_BD[[#This Row],[Work Start time on Fault]]="NA","",(Plant_BD[[#This Row],[Work Start time on Fault]]-Plant_BD[[#This Row],[Fault Time]])*24)</f>
        <v>-10.350000000000001</v>
      </c>
      <c r="AG8" s="17">
        <f>(Plant_BD[[#This Row],[Work Completion time on fault]]-Plant_BD[[#This Row],[Fault Time]])*24</f>
        <v>2.3666666666666663</v>
      </c>
      <c r="AH8" s="17">
        <f>IFERROR((Plant_BD[[#This Row],[Work Completion time on fault]]-Plant_BD[[#This Row],[Fault Time]])*24,"")</f>
        <v>2.3666666666666663</v>
      </c>
      <c r="AI8" s="222" t="s">
        <v>1078</v>
      </c>
      <c r="AJ8" s="6" t="s">
        <v>1068</v>
      </c>
      <c r="AK8" s="223">
        <f>IFERROR(Plant_BD[[#This Row],[Breakdown Time]]*Plant_BD[[#This Row],[Plant Equivalent Weightage]],"")</f>
        <v>0.19757383834731759</v>
      </c>
      <c r="AL8" s="6">
        <v>1.99</v>
      </c>
      <c r="AM8" s="221">
        <f>_xlfn.XLOOKUP($G8,'Modelling New'!$D:$D,'Modelling New'!$O:$O)*Plant_BD[[#This Row],[Lost PoA(kWh/m2)]]*Plant_BD[[#This Row],[DC Capacity Affected (kW)]]</f>
        <v>950.81052308609515</v>
      </c>
      <c r="AN8" s="6"/>
      <c r="AO8" s="6"/>
      <c r="AP8" s="224"/>
    </row>
    <row r="9" spans="1:42" x14ac:dyDescent="0.3">
      <c r="A9" s="171">
        <f t="shared" si="0"/>
        <v>8</v>
      </c>
      <c r="B9" s="200">
        <v>45745</v>
      </c>
      <c r="C9" s="212">
        <f>YEAR(Plant_BD[[#This Row],[Date]])+IF(MONTH(Plant_BD[[#This Row],[Date]])&gt;=4,1,0)</f>
        <v>2025</v>
      </c>
      <c r="D9" s="212">
        <f>YEAR(Plant_BD[[#This Row],[Date]])</f>
        <v>2025</v>
      </c>
      <c r="E9" s="77" t="s">
        <v>1070</v>
      </c>
      <c r="F9" s="77" t="s">
        <v>1070</v>
      </c>
      <c r="G9" s="213">
        <f>Plant_BD[[#This Row],[Date]]-DAY(Plant_BD[[#This Row],[Date]])+1</f>
        <v>45717</v>
      </c>
      <c r="H9" s="3">
        <f>DAY(EOMONTH(Plant_BD[[#This Row],[Month Year]],0))</f>
        <v>31</v>
      </c>
      <c r="I9" s="214">
        <f>_xlfn.XLOOKUP(Plant_BD[[#This Row],[Date]],'Raw Data'!$G:$G,'Raw Data'!$I:$I)</f>
        <v>0.2638888888888889</v>
      </c>
      <c r="J9" s="214">
        <f>_xlfn.XLOOKUP(Plant_BD[[#This Row],[Date]],'Raw Data'!$G:$G,'Raw Data'!$J:$J)</f>
        <v>0.76736111111111116</v>
      </c>
      <c r="K9" s="215">
        <f>IFERROR((Plant_BD[[#This Row],[Sunset Time (POA&lt;20 W/m2)]]-Plant_BD[[#This Row],[Sunrise Time (POA&gt;20 W/m2)]])*24,"")</f>
        <v>12.083333333333336</v>
      </c>
      <c r="L9" s="215"/>
      <c r="M9" s="215"/>
      <c r="N9" s="215"/>
      <c r="O9" s="215"/>
      <c r="P9" s="215"/>
      <c r="Q9" s="215"/>
      <c r="R9" s="215"/>
      <c r="S9" s="215"/>
      <c r="T9" s="216" t="s">
        <v>168</v>
      </c>
      <c r="U9" s="16">
        <f>IFERROR(_xlfn.XLOOKUP(Plant_BD[[#This Row],[Affected Equipment]],'Basic Data'!$A:$A,'Basic Data'!$B:$B),"")</f>
        <v>2694.6</v>
      </c>
      <c r="V9" s="217">
        <f>IFERROR(_xlfn.XLOOKUP(Plant_BD[[#This Row],[Affected Equipment]],'Basic Data'!$A:$A,'Basic Data'!$C:$C),"")</f>
        <v>0.33594733758057077</v>
      </c>
      <c r="W9" s="218" t="s">
        <v>311</v>
      </c>
      <c r="X9" s="218" t="s">
        <v>1073</v>
      </c>
      <c r="Y9" s="218"/>
      <c r="Z9" s="219" t="s">
        <v>1077</v>
      </c>
      <c r="AA9" s="220">
        <v>0.52986111111111112</v>
      </c>
      <c r="AB9" s="220"/>
      <c r="AC9" s="220"/>
      <c r="AD9" s="220">
        <v>0.53611111111111109</v>
      </c>
      <c r="AE9" s="221">
        <f>IF(Plant_BD[[#This Row],[Acknowledgement Time ]]="NA","",(Plant_BD[[#This Row],[Acknowledgement Time ]]-Plant_BD[[#This Row],[Fault Time]])*24)</f>
        <v>-12.716666666666667</v>
      </c>
      <c r="AF9" s="221">
        <f>IF(Plant_BD[[#This Row],[Work Start time on Fault]]="NA","",(Plant_BD[[#This Row],[Work Start time on Fault]]-Plant_BD[[#This Row],[Fault Time]])*24)</f>
        <v>-12.716666666666667</v>
      </c>
      <c r="AG9" s="17">
        <f>(Plant_BD[[#This Row],[Work Completion time on fault]]-Plant_BD[[#This Row],[Fault Time]])*24</f>
        <v>0.14999999999999947</v>
      </c>
      <c r="AH9" s="17">
        <f>IFERROR((Plant_BD[[#This Row],[Work Completion time on fault]]-Plant_BD[[#This Row],[Fault Time]])*24,"")</f>
        <v>0.14999999999999947</v>
      </c>
      <c r="AI9" s="222" t="s">
        <v>1074</v>
      </c>
      <c r="AJ9" s="6" t="s">
        <v>1069</v>
      </c>
      <c r="AK9" s="223">
        <f>IFERROR(Plant_BD[[#This Row],[Breakdown Time]]*Plant_BD[[#This Row],[Plant Equivalent Weightage]],"")</f>
        <v>5.0392100637085435E-2</v>
      </c>
      <c r="AL9" s="6">
        <v>0.14000000000000001</v>
      </c>
      <c r="AM9" s="221">
        <f>_xlfn.XLOOKUP($G9,'Modelling New'!$D:$D,'Modelling New'!$O:$O)*Plant_BD[[#This Row],[Lost PoA(kWh/m2)]]*Plant_BD[[#This Row],[DC Capacity Affected (kW)]]</f>
        <v>269.18310562001381</v>
      </c>
      <c r="AN9" s="6"/>
      <c r="AO9" s="6"/>
      <c r="AP9" s="224"/>
    </row>
    <row r="10" spans="1:42" x14ac:dyDescent="0.3">
      <c r="A10" s="171">
        <f t="shared" si="0"/>
        <v>9</v>
      </c>
      <c r="B10" s="200">
        <v>45745</v>
      </c>
      <c r="C10" s="212">
        <f>YEAR(Plant_BD[[#This Row],[Date]])+IF(MONTH(Plant_BD[[#This Row],[Date]])&gt;=4,1,0)</f>
        <v>2025</v>
      </c>
      <c r="D10" s="212">
        <f>YEAR(Plant_BD[[#This Row],[Date]])</f>
        <v>2025</v>
      </c>
      <c r="E10" s="77" t="s">
        <v>1070</v>
      </c>
      <c r="F10" s="77" t="s">
        <v>1070</v>
      </c>
      <c r="G10" s="213">
        <f>Plant_BD[[#This Row],[Date]]-DAY(Plant_BD[[#This Row],[Date]])+1</f>
        <v>45717</v>
      </c>
      <c r="H10" s="3">
        <f>DAY(EOMONTH(Plant_BD[[#This Row],[Month Year]],0))</f>
        <v>31</v>
      </c>
      <c r="I10" s="214">
        <f>_xlfn.XLOOKUP(Plant_BD[[#This Row],[Date]],'Raw Data'!$G:$G,'Raw Data'!$I:$I)</f>
        <v>0.2638888888888889</v>
      </c>
      <c r="J10" s="214">
        <f>_xlfn.XLOOKUP(Plant_BD[[#This Row],[Date]],'Raw Data'!$G:$G,'Raw Data'!$J:$J)</f>
        <v>0.76736111111111116</v>
      </c>
      <c r="K10" s="215">
        <f>IFERROR((Plant_BD[[#This Row],[Sunset Time (POA&lt;20 W/m2)]]-Plant_BD[[#This Row],[Sunrise Time (POA&gt;20 W/m2)]])*24,"")</f>
        <v>12.083333333333336</v>
      </c>
      <c r="L10" s="215"/>
      <c r="M10" s="215"/>
      <c r="N10" s="215"/>
      <c r="O10" s="215"/>
      <c r="P10" s="215"/>
      <c r="Q10" s="215"/>
      <c r="R10" s="215"/>
      <c r="S10" s="215"/>
      <c r="T10" s="216" t="s">
        <v>219</v>
      </c>
      <c r="U10" s="16">
        <f>IFERROR(_xlfn.XLOOKUP(Plant_BD[[#This Row],[Affected Equipment]],'Basic Data'!$A:$A,'Basic Data'!$B:$B),"")</f>
        <v>669.6</v>
      </c>
      <c r="V10" s="217">
        <f>IFERROR(_xlfn.XLOOKUP(Plant_BD[[#This Row],[Affected Equipment]],'Basic Data'!$A:$A,'Basic Data'!$C:$C),"")</f>
        <v>8.348190352703562E-2</v>
      </c>
      <c r="W10" s="218" t="s">
        <v>311</v>
      </c>
      <c r="X10" s="218" t="s">
        <v>1076</v>
      </c>
      <c r="Y10" s="218"/>
      <c r="Z10" s="219" t="s">
        <v>1076</v>
      </c>
      <c r="AA10" s="220">
        <v>0.53611111111111109</v>
      </c>
      <c r="AB10" s="220"/>
      <c r="AC10" s="220"/>
      <c r="AD10" s="220">
        <v>0.5625</v>
      </c>
      <c r="AE10" s="221">
        <f>IF(Plant_BD[[#This Row],[Acknowledgement Time ]]="NA","",(Plant_BD[[#This Row],[Acknowledgement Time ]]-Plant_BD[[#This Row],[Fault Time]])*24)</f>
        <v>-12.866666666666667</v>
      </c>
      <c r="AF10" s="221">
        <f>IF(Plant_BD[[#This Row],[Work Start time on Fault]]="NA","",(Plant_BD[[#This Row],[Work Start time on Fault]]-Plant_BD[[#This Row],[Fault Time]])*24)</f>
        <v>-12.866666666666667</v>
      </c>
      <c r="AG10" s="17">
        <f>(Plant_BD[[#This Row],[Work Completion time on fault]]-Plant_BD[[#This Row],[Fault Time]])*24</f>
        <v>0.63333333333333375</v>
      </c>
      <c r="AH10" s="17">
        <f>IFERROR((Plant_BD[[#This Row],[Work Completion time on fault]]-Plant_BD[[#This Row],[Fault Time]])*24,"")</f>
        <v>0.63333333333333375</v>
      </c>
      <c r="AI10" s="222" t="s">
        <v>1072</v>
      </c>
      <c r="AJ10" s="6" t="s">
        <v>1068</v>
      </c>
      <c r="AK10" s="223">
        <f>IFERROR(Plant_BD[[#This Row],[Breakdown Time]]*Plant_BD[[#This Row],[Plant Equivalent Weightage]],"")</f>
        <v>5.2871872233789259E-2</v>
      </c>
      <c r="AL10" s="6">
        <v>0.57999999999999996</v>
      </c>
      <c r="AM10" s="221">
        <f>_xlfn.XLOOKUP($G10,'Modelling New'!$D:$D,'Modelling New'!$O:$O)*Plant_BD[[#This Row],[Lost PoA(kWh/m2)]]*Plant_BD[[#This Row],[DC Capacity Affected (kW)]]</f>
        <v>277.12065496981666</v>
      </c>
      <c r="AN10" s="6"/>
      <c r="AO10" s="6"/>
      <c r="AP10" s="224"/>
    </row>
    <row r="11" spans="1:42" x14ac:dyDescent="0.3">
      <c r="A11" s="171">
        <f t="shared" si="0"/>
        <v>10</v>
      </c>
      <c r="B11" s="200">
        <v>45745</v>
      </c>
      <c r="C11" s="212">
        <f>YEAR(Plant_BD[[#This Row],[Date]])+IF(MONTH(Plant_BD[[#This Row],[Date]])&gt;=4,1,0)</f>
        <v>2025</v>
      </c>
      <c r="D11" s="212">
        <f>YEAR(Plant_BD[[#This Row],[Date]])</f>
        <v>2025</v>
      </c>
      <c r="E11" s="77" t="s">
        <v>1070</v>
      </c>
      <c r="F11" s="77" t="s">
        <v>1070</v>
      </c>
      <c r="G11" s="213">
        <f>Plant_BD[[#This Row],[Date]]-DAY(Plant_BD[[#This Row],[Date]])+1</f>
        <v>45717</v>
      </c>
      <c r="H11" s="3">
        <f>DAY(EOMONTH(Plant_BD[[#This Row],[Month Year]],0))</f>
        <v>31</v>
      </c>
      <c r="I11" s="214">
        <f>_xlfn.XLOOKUP(Plant_BD[[#This Row],[Date]],'Raw Data'!$G:$G,'Raw Data'!$I:$I)</f>
        <v>0.2638888888888889</v>
      </c>
      <c r="J11" s="214">
        <f>_xlfn.XLOOKUP(Plant_BD[[#This Row],[Date]],'Raw Data'!$G:$G,'Raw Data'!$J:$J)</f>
        <v>0.76736111111111116</v>
      </c>
      <c r="K11" s="215">
        <f>IFERROR((Plant_BD[[#This Row],[Sunset Time (POA&lt;20 W/m2)]]-Plant_BD[[#This Row],[Sunrise Time (POA&gt;20 W/m2)]])*24,"")</f>
        <v>12.083333333333336</v>
      </c>
      <c r="L11" s="215"/>
      <c r="M11" s="215"/>
      <c r="N11" s="215"/>
      <c r="O11" s="215"/>
      <c r="P11" s="215"/>
      <c r="Q11" s="215"/>
      <c r="R11" s="215"/>
      <c r="S11" s="215"/>
      <c r="T11" s="216" t="s">
        <v>220</v>
      </c>
      <c r="U11" s="16">
        <f>IFERROR(_xlfn.XLOOKUP(Plant_BD[[#This Row],[Affected Equipment]],'Basic Data'!$A:$A,'Basic Data'!$B:$B),"")</f>
        <v>669.6</v>
      </c>
      <c r="V11" s="217">
        <f>IFERROR(_xlfn.XLOOKUP(Plant_BD[[#This Row],[Affected Equipment]],'Basic Data'!$A:$A,'Basic Data'!$C:$C),"")</f>
        <v>8.348190352703562E-2</v>
      </c>
      <c r="W11" s="218" t="s">
        <v>311</v>
      </c>
      <c r="X11" s="218" t="s">
        <v>1078</v>
      </c>
      <c r="Y11" s="218"/>
      <c r="Z11" s="219" t="s">
        <v>1078</v>
      </c>
      <c r="AA11" s="220">
        <v>0.53611111111111109</v>
      </c>
      <c r="AB11" s="220"/>
      <c r="AC11" s="220"/>
      <c r="AD11" s="220">
        <v>0.5625</v>
      </c>
      <c r="AE11" s="221">
        <f>IF(Plant_BD[[#This Row],[Acknowledgement Time ]]="NA","",(Plant_BD[[#This Row],[Acknowledgement Time ]]-Plant_BD[[#This Row],[Fault Time]])*24)</f>
        <v>-12.866666666666667</v>
      </c>
      <c r="AF11" s="221">
        <f>IF(Plant_BD[[#This Row],[Work Start time on Fault]]="NA","",(Plant_BD[[#This Row],[Work Start time on Fault]]-Plant_BD[[#This Row],[Fault Time]])*24)</f>
        <v>-12.866666666666667</v>
      </c>
      <c r="AG11" s="17">
        <f>(Plant_BD[[#This Row],[Work Completion time on fault]]-Plant_BD[[#This Row],[Fault Time]])*24</f>
        <v>0.63333333333333375</v>
      </c>
      <c r="AH11" s="17">
        <f>IFERROR((Plant_BD[[#This Row],[Work Completion time on fault]]-Plant_BD[[#This Row],[Fault Time]])*24,"")</f>
        <v>0.63333333333333375</v>
      </c>
      <c r="AI11" s="222" t="s">
        <v>1078</v>
      </c>
      <c r="AJ11" s="6" t="s">
        <v>1068</v>
      </c>
      <c r="AK11" s="223">
        <f>IFERROR(Plant_BD[[#This Row],[Breakdown Time]]*Plant_BD[[#This Row],[Plant Equivalent Weightage]],"")</f>
        <v>5.2871872233789259E-2</v>
      </c>
      <c r="AL11" s="6">
        <v>0.57999999999999996</v>
      </c>
      <c r="AM11" s="221">
        <f>_xlfn.XLOOKUP($G11,'Modelling New'!$D:$D,'Modelling New'!$O:$O)*Plant_BD[[#This Row],[Lost PoA(kWh/m2)]]*Plant_BD[[#This Row],[DC Capacity Affected (kW)]]</f>
        <v>277.12065496981666</v>
      </c>
      <c r="AN11" s="6"/>
      <c r="AO11" s="6"/>
      <c r="AP11" s="224"/>
    </row>
    <row r="12" spans="1:42" x14ac:dyDescent="0.3">
      <c r="A12" s="171">
        <f t="shared" si="0"/>
        <v>11</v>
      </c>
      <c r="B12" s="200">
        <v>45745</v>
      </c>
      <c r="C12" s="212">
        <f>YEAR(Plant_BD[[#This Row],[Date]])+IF(MONTH(Plant_BD[[#This Row],[Date]])&gt;=4,1,0)</f>
        <v>2025</v>
      </c>
      <c r="D12" s="212">
        <f>YEAR(Plant_BD[[#This Row],[Date]])</f>
        <v>2025</v>
      </c>
      <c r="E12" s="77" t="s">
        <v>1070</v>
      </c>
      <c r="F12" s="77" t="s">
        <v>1070</v>
      </c>
      <c r="G12" s="213">
        <f>Plant_BD[[#This Row],[Date]]-DAY(Plant_BD[[#This Row],[Date]])+1</f>
        <v>45717</v>
      </c>
      <c r="H12" s="3">
        <f>DAY(EOMONTH(Plant_BD[[#This Row],[Month Year]],0))</f>
        <v>31</v>
      </c>
      <c r="I12" s="214">
        <f>_xlfn.XLOOKUP(Plant_BD[[#This Row],[Date]],'Raw Data'!$G:$G,'Raw Data'!$I:$I)</f>
        <v>0.2638888888888889</v>
      </c>
      <c r="J12" s="214">
        <f>_xlfn.XLOOKUP(Plant_BD[[#This Row],[Date]],'Raw Data'!$G:$G,'Raw Data'!$J:$J)</f>
        <v>0.76736111111111116</v>
      </c>
      <c r="K12" s="215">
        <f>IFERROR((Plant_BD[[#This Row],[Sunset Time (POA&lt;20 W/m2)]]-Plant_BD[[#This Row],[Sunrise Time (POA&gt;20 W/m2)]])*24,"")</f>
        <v>12.083333333333336</v>
      </c>
      <c r="L12" s="215"/>
      <c r="M12" s="215"/>
      <c r="N12" s="215"/>
      <c r="O12" s="215"/>
      <c r="P12" s="215"/>
      <c r="Q12" s="215"/>
      <c r="R12" s="215"/>
      <c r="S12" s="215"/>
      <c r="T12" s="216" t="s">
        <v>168</v>
      </c>
      <c r="U12" s="16">
        <f>IFERROR(_xlfn.XLOOKUP(Plant_BD[[#This Row],[Affected Equipment]],'Basic Data'!$A:$A,'Basic Data'!$B:$B),"")</f>
        <v>2694.6</v>
      </c>
      <c r="V12" s="217">
        <f>IFERROR(_xlfn.XLOOKUP(Plant_BD[[#This Row],[Affected Equipment]],'Basic Data'!$A:$A,'Basic Data'!$C:$C),"")</f>
        <v>0.33594733758057077</v>
      </c>
      <c r="W12" s="218" t="s">
        <v>311</v>
      </c>
      <c r="X12" s="218" t="s">
        <v>1073</v>
      </c>
      <c r="Y12" s="218"/>
      <c r="Z12" s="219" t="s">
        <v>1077</v>
      </c>
      <c r="AA12" s="220">
        <v>0.5625</v>
      </c>
      <c r="AB12" s="220"/>
      <c r="AC12" s="220"/>
      <c r="AD12" s="220">
        <v>0.56874999999999998</v>
      </c>
      <c r="AE12" s="221">
        <f>IF(Plant_BD[[#This Row],[Acknowledgement Time ]]="NA","",(Plant_BD[[#This Row],[Acknowledgement Time ]]-Plant_BD[[#This Row],[Fault Time]])*24)</f>
        <v>-13.5</v>
      </c>
      <c r="AF12" s="221">
        <f>IF(Plant_BD[[#This Row],[Work Start time on Fault]]="NA","",(Plant_BD[[#This Row],[Work Start time on Fault]]-Plant_BD[[#This Row],[Fault Time]])*24)</f>
        <v>-13.5</v>
      </c>
      <c r="AG12" s="17">
        <f>(Plant_BD[[#This Row],[Work Completion time on fault]]-Plant_BD[[#This Row],[Fault Time]])*24</f>
        <v>0.14999999999999947</v>
      </c>
      <c r="AH12" s="17">
        <f>IFERROR((Plant_BD[[#This Row],[Work Completion time on fault]]-Plant_BD[[#This Row],[Fault Time]])*24,"")</f>
        <v>0.14999999999999947</v>
      </c>
      <c r="AI12" s="222" t="s">
        <v>1074</v>
      </c>
      <c r="AJ12" s="6" t="s">
        <v>1069</v>
      </c>
      <c r="AK12" s="223">
        <f>IFERROR(Plant_BD[[#This Row],[Breakdown Time]]*Plant_BD[[#This Row],[Plant Equivalent Weightage]],"")</f>
        <v>5.0392100637085435E-2</v>
      </c>
      <c r="AL12" s="6">
        <v>0.14000000000000001</v>
      </c>
      <c r="AM12" s="221">
        <f>_xlfn.XLOOKUP($G12,'Modelling New'!$D:$D,'Modelling New'!$O:$O)*Plant_BD[[#This Row],[Lost PoA(kWh/m2)]]*Plant_BD[[#This Row],[DC Capacity Affected (kW)]]</f>
        <v>269.18310562001381</v>
      </c>
      <c r="AN12" s="6"/>
      <c r="AO12" s="6"/>
      <c r="AP12" s="224"/>
    </row>
    <row r="13" spans="1:42" x14ac:dyDescent="0.3">
      <c r="A13" s="171">
        <f t="shared" si="0"/>
        <v>12</v>
      </c>
      <c r="B13" s="200">
        <v>45745</v>
      </c>
      <c r="C13" s="212">
        <f>YEAR(Plant_BD[[#This Row],[Date]])+IF(MONTH(Plant_BD[[#This Row],[Date]])&gt;=4,1,0)</f>
        <v>2025</v>
      </c>
      <c r="D13" s="212">
        <f>YEAR(Plant_BD[[#This Row],[Date]])</f>
        <v>2025</v>
      </c>
      <c r="E13" s="77" t="s">
        <v>1070</v>
      </c>
      <c r="F13" s="77" t="s">
        <v>1070</v>
      </c>
      <c r="G13" s="213">
        <f>Plant_BD[[#This Row],[Date]]-DAY(Plant_BD[[#This Row],[Date]])+1</f>
        <v>45717</v>
      </c>
      <c r="H13" s="3">
        <f>DAY(EOMONTH(Plant_BD[[#This Row],[Month Year]],0))</f>
        <v>31</v>
      </c>
      <c r="I13" s="214">
        <f>_xlfn.XLOOKUP(Plant_BD[[#This Row],[Date]],'Raw Data'!$G:$G,'Raw Data'!$I:$I)</f>
        <v>0.2638888888888889</v>
      </c>
      <c r="J13" s="214">
        <f>_xlfn.XLOOKUP(Plant_BD[[#This Row],[Date]],'Raw Data'!$G:$G,'Raw Data'!$J:$J)</f>
        <v>0.76736111111111116</v>
      </c>
      <c r="K13" s="215">
        <f>IFERROR((Plant_BD[[#This Row],[Sunset Time (POA&lt;20 W/m2)]]-Plant_BD[[#This Row],[Sunrise Time (POA&gt;20 W/m2)]])*24,"")</f>
        <v>12.083333333333336</v>
      </c>
      <c r="L13" s="215"/>
      <c r="M13" s="215"/>
      <c r="N13" s="215"/>
      <c r="O13" s="215"/>
      <c r="P13" s="215"/>
      <c r="Q13" s="215"/>
      <c r="R13" s="215"/>
      <c r="S13" s="215"/>
      <c r="T13" s="216" t="s">
        <v>219</v>
      </c>
      <c r="U13" s="16">
        <f>IFERROR(_xlfn.XLOOKUP(Plant_BD[[#This Row],[Affected Equipment]],'Basic Data'!$A:$A,'Basic Data'!$B:$B),"")</f>
        <v>669.6</v>
      </c>
      <c r="V13" s="217">
        <f>IFERROR(_xlfn.XLOOKUP(Plant_BD[[#This Row],[Affected Equipment]],'Basic Data'!$A:$A,'Basic Data'!$C:$C),"")</f>
        <v>8.348190352703562E-2</v>
      </c>
      <c r="W13" s="218" t="s">
        <v>311</v>
      </c>
      <c r="X13" s="218" t="s">
        <v>1076</v>
      </c>
      <c r="Y13" s="218"/>
      <c r="Z13" s="219" t="s">
        <v>1076</v>
      </c>
      <c r="AA13" s="220">
        <v>0.56874999999999998</v>
      </c>
      <c r="AB13" s="220"/>
      <c r="AC13" s="220"/>
      <c r="AD13" s="220">
        <v>0.63680555555555551</v>
      </c>
      <c r="AE13" s="221">
        <f>IF(Plant_BD[[#This Row],[Acknowledgement Time ]]="NA","",(Plant_BD[[#This Row],[Acknowledgement Time ]]-Plant_BD[[#This Row],[Fault Time]])*24)</f>
        <v>-13.649999999999999</v>
      </c>
      <c r="AF13" s="221">
        <f>IF(Plant_BD[[#This Row],[Work Start time on Fault]]="NA","",(Plant_BD[[#This Row],[Work Start time on Fault]]-Plant_BD[[#This Row],[Fault Time]])*24)</f>
        <v>-13.649999999999999</v>
      </c>
      <c r="AG13" s="17">
        <f>(Plant_BD[[#This Row],[Work Completion time on fault]]-Plant_BD[[#This Row],[Fault Time]])*24</f>
        <v>1.6333333333333329</v>
      </c>
      <c r="AH13" s="17">
        <f>IFERROR((Plant_BD[[#This Row],[Work Completion time on fault]]-Plant_BD[[#This Row],[Fault Time]])*24,"")</f>
        <v>1.6333333333333329</v>
      </c>
      <c r="AI13" s="222" t="s">
        <v>1072</v>
      </c>
      <c r="AJ13" s="6" t="s">
        <v>1068</v>
      </c>
      <c r="AK13" s="223">
        <f>IFERROR(Plant_BD[[#This Row],[Breakdown Time]]*Plant_BD[[#This Row],[Plant Equivalent Weightage]],"")</f>
        <v>0.1363537757608248</v>
      </c>
      <c r="AL13" s="6">
        <v>1.02</v>
      </c>
      <c r="AM13" s="221">
        <f>_xlfn.XLOOKUP($G13,'Modelling New'!$D:$D,'Modelling New'!$O:$O)*Plant_BD[[#This Row],[Lost PoA(kWh/m2)]]*Plant_BD[[#This Row],[DC Capacity Affected (kW)]]</f>
        <v>487.35011736071203</v>
      </c>
      <c r="AN13" s="6"/>
      <c r="AO13" s="6"/>
      <c r="AP13" s="224"/>
    </row>
    <row r="14" spans="1:42" x14ac:dyDescent="0.3">
      <c r="A14" s="171">
        <f t="shared" si="0"/>
        <v>13</v>
      </c>
      <c r="B14" s="200">
        <v>45745</v>
      </c>
      <c r="C14" s="212">
        <f>YEAR(Plant_BD[[#This Row],[Date]])+IF(MONTH(Plant_BD[[#This Row],[Date]])&gt;=4,1,0)</f>
        <v>2025</v>
      </c>
      <c r="D14" s="212">
        <f>YEAR(Plant_BD[[#This Row],[Date]])</f>
        <v>2025</v>
      </c>
      <c r="E14" s="77" t="s">
        <v>1070</v>
      </c>
      <c r="F14" s="77" t="s">
        <v>1070</v>
      </c>
      <c r="G14" s="213">
        <f>Plant_BD[[#This Row],[Date]]-DAY(Plant_BD[[#This Row],[Date]])+1</f>
        <v>45717</v>
      </c>
      <c r="H14" s="3">
        <f>DAY(EOMONTH(Plant_BD[[#This Row],[Month Year]],0))</f>
        <v>31</v>
      </c>
      <c r="I14" s="214">
        <f>_xlfn.XLOOKUP(Plant_BD[[#This Row],[Date]],'Raw Data'!$G:$G,'Raw Data'!$I:$I)</f>
        <v>0.2638888888888889</v>
      </c>
      <c r="J14" s="214">
        <f>_xlfn.XLOOKUP(Plant_BD[[#This Row],[Date]],'Raw Data'!$G:$G,'Raw Data'!$J:$J)</f>
        <v>0.76736111111111116</v>
      </c>
      <c r="K14" s="215">
        <f>IFERROR((Plant_BD[[#This Row],[Sunset Time (POA&lt;20 W/m2)]]-Plant_BD[[#This Row],[Sunrise Time (POA&gt;20 W/m2)]])*24,"")</f>
        <v>12.083333333333336</v>
      </c>
      <c r="L14" s="215"/>
      <c r="M14" s="215"/>
      <c r="N14" s="215"/>
      <c r="O14" s="215"/>
      <c r="P14" s="215"/>
      <c r="Q14" s="215"/>
      <c r="R14" s="215"/>
      <c r="S14" s="215"/>
      <c r="T14" s="216" t="s">
        <v>220</v>
      </c>
      <c r="U14" s="16">
        <f>IFERROR(_xlfn.XLOOKUP(Plant_BD[[#This Row],[Affected Equipment]],'Basic Data'!$A:$A,'Basic Data'!$B:$B),"")</f>
        <v>669.6</v>
      </c>
      <c r="V14" s="217">
        <f>IFERROR(_xlfn.XLOOKUP(Plant_BD[[#This Row],[Affected Equipment]],'Basic Data'!$A:$A,'Basic Data'!$C:$C),"")</f>
        <v>8.348190352703562E-2</v>
      </c>
      <c r="W14" s="218" t="s">
        <v>311</v>
      </c>
      <c r="X14" s="218" t="s">
        <v>1078</v>
      </c>
      <c r="Y14" s="218"/>
      <c r="Z14" s="219" t="s">
        <v>1078</v>
      </c>
      <c r="AA14" s="220">
        <v>0.56874999999999998</v>
      </c>
      <c r="AB14" s="220"/>
      <c r="AC14" s="220"/>
      <c r="AD14" s="220">
        <v>0.63680555555555551</v>
      </c>
      <c r="AE14" s="221">
        <f>IF(Plant_BD[[#This Row],[Acknowledgement Time ]]="NA","",(Plant_BD[[#This Row],[Acknowledgement Time ]]-Plant_BD[[#This Row],[Fault Time]])*24)</f>
        <v>-13.649999999999999</v>
      </c>
      <c r="AF14" s="221">
        <f>IF(Plant_BD[[#This Row],[Work Start time on Fault]]="NA","",(Plant_BD[[#This Row],[Work Start time on Fault]]-Plant_BD[[#This Row],[Fault Time]])*24)</f>
        <v>-13.649999999999999</v>
      </c>
      <c r="AG14" s="17">
        <f>(Plant_BD[[#This Row],[Work Completion time on fault]]-Plant_BD[[#This Row],[Fault Time]])*24</f>
        <v>1.6333333333333329</v>
      </c>
      <c r="AH14" s="17">
        <f>IFERROR((Plant_BD[[#This Row],[Work Completion time on fault]]-Plant_BD[[#This Row],[Fault Time]])*24,"")</f>
        <v>1.6333333333333329</v>
      </c>
      <c r="AI14" s="222" t="s">
        <v>1078</v>
      </c>
      <c r="AJ14" s="6" t="s">
        <v>1068</v>
      </c>
      <c r="AK14" s="223">
        <f>IFERROR(Plant_BD[[#This Row],[Breakdown Time]]*Plant_BD[[#This Row],[Plant Equivalent Weightage]],"")</f>
        <v>0.1363537757608248</v>
      </c>
      <c r="AL14" s="6">
        <v>1.02</v>
      </c>
      <c r="AM14" s="221">
        <f>_xlfn.XLOOKUP($G14,'Modelling New'!$D:$D,'Modelling New'!$O:$O)*Plant_BD[[#This Row],[Lost PoA(kWh/m2)]]*Plant_BD[[#This Row],[DC Capacity Affected (kW)]]</f>
        <v>487.35011736071203</v>
      </c>
      <c r="AN14" s="6"/>
      <c r="AO14" s="6"/>
      <c r="AP14" s="224"/>
    </row>
    <row r="15" spans="1:42" x14ac:dyDescent="0.3">
      <c r="A15" s="171">
        <f t="shared" si="0"/>
        <v>14</v>
      </c>
      <c r="B15" s="200">
        <v>45745</v>
      </c>
      <c r="C15" s="212">
        <f>YEAR(Plant_BD[[#This Row],[Date]])+IF(MONTH(Plant_BD[[#This Row],[Date]])&gt;=4,1,0)</f>
        <v>2025</v>
      </c>
      <c r="D15" s="212">
        <f>YEAR(Plant_BD[[#This Row],[Date]])</f>
        <v>2025</v>
      </c>
      <c r="E15" s="77" t="s">
        <v>1070</v>
      </c>
      <c r="F15" s="77" t="s">
        <v>1070</v>
      </c>
      <c r="G15" s="213">
        <f>Plant_BD[[#This Row],[Date]]-DAY(Plant_BD[[#This Row],[Date]])+1</f>
        <v>45717</v>
      </c>
      <c r="H15" s="3">
        <f>DAY(EOMONTH(Plant_BD[[#This Row],[Month Year]],0))</f>
        <v>31</v>
      </c>
      <c r="I15" s="214">
        <f>_xlfn.XLOOKUP(Plant_BD[[#This Row],[Date]],'Raw Data'!$G:$G,'Raw Data'!$I:$I)</f>
        <v>0.2638888888888889</v>
      </c>
      <c r="J15" s="214">
        <f>_xlfn.XLOOKUP(Plant_BD[[#This Row],[Date]],'Raw Data'!$G:$G,'Raw Data'!$J:$J)</f>
        <v>0.76736111111111116</v>
      </c>
      <c r="K15" s="215">
        <f>IFERROR((Plant_BD[[#This Row],[Sunset Time (POA&lt;20 W/m2)]]-Plant_BD[[#This Row],[Sunrise Time (POA&gt;20 W/m2)]])*24,"")</f>
        <v>12.083333333333336</v>
      </c>
      <c r="L15" s="215"/>
      <c r="M15" s="215"/>
      <c r="N15" s="215"/>
      <c r="O15" s="215"/>
      <c r="P15" s="215"/>
      <c r="Q15" s="215"/>
      <c r="R15" s="215"/>
      <c r="S15" s="215"/>
      <c r="T15" s="216" t="s">
        <v>168</v>
      </c>
      <c r="U15" s="16">
        <f>IFERROR(_xlfn.XLOOKUP(Plant_BD[[#This Row],[Affected Equipment]],'Basic Data'!$A:$A,'Basic Data'!$B:$B),"")</f>
        <v>2694.6</v>
      </c>
      <c r="V15" s="217">
        <f>IFERROR(_xlfn.XLOOKUP(Plant_BD[[#This Row],[Affected Equipment]],'Basic Data'!$A:$A,'Basic Data'!$C:$C),"")</f>
        <v>0.33594733758057077</v>
      </c>
      <c r="W15" s="218" t="s">
        <v>311</v>
      </c>
      <c r="X15" s="218" t="s">
        <v>1079</v>
      </c>
      <c r="Y15" s="218"/>
      <c r="Z15" s="219" t="s">
        <v>1079</v>
      </c>
      <c r="AA15" s="220">
        <v>0.63680555555555551</v>
      </c>
      <c r="AB15" s="220"/>
      <c r="AC15" s="220"/>
      <c r="AD15" s="220">
        <v>0.63749999999999996</v>
      </c>
      <c r="AE15" s="221">
        <f>IF(Plant_BD[[#This Row],[Acknowledgement Time ]]="NA","",(Plant_BD[[#This Row],[Acknowledgement Time ]]-Plant_BD[[#This Row],[Fault Time]])*24)</f>
        <v>-15.283333333333331</v>
      </c>
      <c r="AF15" s="221">
        <f>IF(Plant_BD[[#This Row],[Work Start time on Fault]]="NA","",(Plant_BD[[#This Row],[Work Start time on Fault]]-Plant_BD[[#This Row],[Fault Time]])*24)</f>
        <v>-15.283333333333331</v>
      </c>
      <c r="AG15" s="17">
        <f>(Plant_BD[[#This Row],[Work Completion time on fault]]-Plant_BD[[#This Row],[Fault Time]])*24</f>
        <v>1.6666666666666607E-2</v>
      </c>
      <c r="AH15" s="17">
        <f>IFERROR((Plant_BD[[#This Row],[Work Completion time on fault]]-Plant_BD[[#This Row],[Fault Time]])*24,"")</f>
        <v>1.6666666666666607E-2</v>
      </c>
      <c r="AI15" s="222" t="s">
        <v>1074</v>
      </c>
      <c r="AJ15" s="6" t="s">
        <v>1069</v>
      </c>
      <c r="AK15" s="223">
        <f>IFERROR(Plant_BD[[#This Row],[Breakdown Time]]*Plant_BD[[#This Row],[Plant Equivalent Weightage]],"")</f>
        <v>5.5991222930094932E-3</v>
      </c>
      <c r="AL15" s="6">
        <v>0.01</v>
      </c>
      <c r="AM15" s="221">
        <f>_xlfn.XLOOKUP($G15,'Modelling New'!$D:$D,'Modelling New'!$O:$O)*Plant_BD[[#This Row],[Lost PoA(kWh/m2)]]*Plant_BD[[#This Row],[DC Capacity Affected (kW)]]</f>
        <v>19.227364687143844</v>
      </c>
      <c r="AN15" s="6"/>
      <c r="AO15" s="6"/>
      <c r="AP15" s="224"/>
    </row>
    <row r="16" spans="1:42" x14ac:dyDescent="0.3">
      <c r="A16" s="171">
        <f t="shared" si="0"/>
        <v>15</v>
      </c>
      <c r="B16" s="200">
        <v>45745</v>
      </c>
      <c r="C16" s="212">
        <f>YEAR(Plant_BD[[#This Row],[Date]])+IF(MONTH(Plant_BD[[#This Row],[Date]])&gt;=4,1,0)</f>
        <v>2025</v>
      </c>
      <c r="D16" s="212">
        <f>YEAR(Plant_BD[[#This Row],[Date]])</f>
        <v>2025</v>
      </c>
      <c r="E16" s="77" t="s">
        <v>1070</v>
      </c>
      <c r="F16" s="77" t="s">
        <v>1070</v>
      </c>
      <c r="G16" s="213">
        <f>Plant_BD[[#This Row],[Date]]-DAY(Plant_BD[[#This Row],[Date]])+1</f>
        <v>45717</v>
      </c>
      <c r="H16" s="3">
        <f>DAY(EOMONTH(Plant_BD[[#This Row],[Month Year]],0))</f>
        <v>31</v>
      </c>
      <c r="I16" s="214">
        <f>_xlfn.XLOOKUP(Plant_BD[[#This Row],[Date]],'Raw Data'!$G:$G,'Raw Data'!$I:$I)</f>
        <v>0.2638888888888889</v>
      </c>
      <c r="J16" s="214">
        <f>_xlfn.XLOOKUP(Plant_BD[[#This Row],[Date]],'Raw Data'!$G:$G,'Raw Data'!$J:$J)</f>
        <v>0.76736111111111116</v>
      </c>
      <c r="K16" s="215">
        <f>IFERROR((Plant_BD[[#This Row],[Sunset Time (POA&lt;20 W/m2)]]-Plant_BD[[#This Row],[Sunrise Time (POA&gt;20 W/m2)]])*24,"")</f>
        <v>12.083333333333336</v>
      </c>
      <c r="L16" s="215"/>
      <c r="M16" s="215"/>
      <c r="N16" s="215"/>
      <c r="O16" s="215"/>
      <c r="P16" s="215"/>
      <c r="Q16" s="215"/>
      <c r="R16" s="215"/>
      <c r="S16" s="215"/>
      <c r="T16" s="216" t="s">
        <v>219</v>
      </c>
      <c r="U16" s="16">
        <f>IFERROR(_xlfn.XLOOKUP(Plant_BD[[#This Row],[Affected Equipment]],'Basic Data'!$A:$A,'Basic Data'!$B:$B),"")</f>
        <v>669.6</v>
      </c>
      <c r="V16" s="217">
        <f>IFERROR(_xlfn.XLOOKUP(Plant_BD[[#This Row],[Affected Equipment]],'Basic Data'!$A:$A,'Basic Data'!$C:$C),"")</f>
        <v>8.348190352703562E-2</v>
      </c>
      <c r="W16" s="218" t="s">
        <v>311</v>
      </c>
      <c r="X16" s="218" t="s">
        <v>1076</v>
      </c>
      <c r="Y16" s="218"/>
      <c r="Z16" s="219" t="s">
        <v>1076</v>
      </c>
      <c r="AA16" s="220">
        <v>0.63749999999999996</v>
      </c>
      <c r="AB16" s="220"/>
      <c r="AC16" s="220"/>
      <c r="AD16" s="220">
        <v>0.76736111111111116</v>
      </c>
      <c r="AE16" s="221">
        <f>IF(Plant_BD[[#This Row],[Acknowledgement Time ]]="NA","",(Plant_BD[[#This Row],[Acknowledgement Time ]]-Plant_BD[[#This Row],[Fault Time]])*24)</f>
        <v>-15.299999999999999</v>
      </c>
      <c r="AF16" s="221">
        <f>IF(Plant_BD[[#This Row],[Work Start time on Fault]]="NA","",(Plant_BD[[#This Row],[Work Start time on Fault]]-Plant_BD[[#This Row],[Fault Time]])*24)</f>
        <v>-15.299999999999999</v>
      </c>
      <c r="AG16" s="17">
        <f>(Plant_BD[[#This Row],[Work Completion time on fault]]-Plant_BD[[#This Row],[Fault Time]])*24</f>
        <v>3.1166666666666689</v>
      </c>
      <c r="AH16" s="17">
        <f>IFERROR((Plant_BD[[#This Row],[Work Completion time on fault]]-Plant_BD[[#This Row],[Fault Time]])*24,"")</f>
        <v>3.1166666666666689</v>
      </c>
      <c r="AI16" s="222" t="s">
        <v>1072</v>
      </c>
      <c r="AJ16" s="6" t="s">
        <v>1068</v>
      </c>
      <c r="AK16" s="223">
        <f>IFERROR(Plant_BD[[#This Row],[Breakdown Time]]*Plant_BD[[#This Row],[Plant Equivalent Weightage]],"")</f>
        <v>0.26018526599259456</v>
      </c>
      <c r="AL16" s="6">
        <v>0.45</v>
      </c>
      <c r="AM16" s="221">
        <f>_xlfn.XLOOKUP($G16,'Modelling New'!$D:$D,'Modelling New'!$O:$O)*Plant_BD[[#This Row],[Lost PoA(kWh/m2)]]*Plant_BD[[#This Row],[DC Capacity Affected (kW)]]</f>
        <v>215.00740471796121</v>
      </c>
      <c r="AN16" s="6"/>
      <c r="AO16" s="6"/>
      <c r="AP16" s="224"/>
    </row>
    <row r="17" spans="1:42" x14ac:dyDescent="0.3">
      <c r="A17" s="171">
        <f t="shared" si="0"/>
        <v>16</v>
      </c>
      <c r="B17" s="200">
        <v>45746</v>
      </c>
      <c r="C17" s="212">
        <f>YEAR(Plant_BD[[#This Row],[Date]])+IF(MONTH(Plant_BD[[#This Row],[Date]])&gt;=4,1,0)</f>
        <v>2025</v>
      </c>
      <c r="D17" s="212">
        <f>YEAR(Plant_BD[[#This Row],[Date]])</f>
        <v>2025</v>
      </c>
      <c r="E17" s="77" t="s">
        <v>1070</v>
      </c>
      <c r="F17" s="77" t="s">
        <v>1070</v>
      </c>
      <c r="G17" s="213">
        <f>Plant_BD[[#This Row],[Date]]-DAY(Plant_BD[[#This Row],[Date]])+1</f>
        <v>45717</v>
      </c>
      <c r="H17" s="3">
        <f>DAY(EOMONTH(Plant_BD[[#This Row],[Month Year]],0))</f>
        <v>31</v>
      </c>
      <c r="I17" s="214">
        <f>_xlfn.XLOOKUP(Plant_BD[[#This Row],[Date]],'Raw Data'!$G:$G,'Raw Data'!$I:$I)</f>
        <v>0.2638888888888889</v>
      </c>
      <c r="J17" s="214">
        <f>_xlfn.XLOOKUP(Plant_BD[[#This Row],[Date]],'Raw Data'!$G:$G,'Raw Data'!$J:$J)</f>
        <v>0.7680555555555556</v>
      </c>
      <c r="K17" s="215">
        <f>IFERROR((Plant_BD[[#This Row],[Sunset Time (POA&lt;20 W/m2)]]-Plant_BD[[#This Row],[Sunrise Time (POA&gt;20 W/m2)]])*24,"")</f>
        <v>12.1</v>
      </c>
      <c r="L17" s="215"/>
      <c r="M17" s="215"/>
      <c r="N17" s="215"/>
      <c r="O17" s="215"/>
      <c r="P17" s="215"/>
      <c r="Q17" s="215"/>
      <c r="R17" s="215"/>
      <c r="S17" s="215"/>
      <c r="T17" s="216" t="s">
        <v>226</v>
      </c>
      <c r="U17" s="16">
        <f>IFERROR(_xlfn.XLOOKUP(Plant_BD[[#This Row],[Affected Equipment]],'Basic Data'!$A:$A,'Basic Data'!$B:$B),"")</f>
        <v>658.8</v>
      </c>
      <c r="V17" s="217">
        <f>IFERROR(_xlfn.XLOOKUP(Plant_BD[[#This Row],[Affected Equipment]],'Basic Data'!$A:$A,'Basic Data'!$C:$C),"")</f>
        <v>8.2135421212083434E-2</v>
      </c>
      <c r="W17" s="218" t="s">
        <v>311</v>
      </c>
      <c r="X17" s="218" t="s">
        <v>1075</v>
      </c>
      <c r="Y17" s="218"/>
      <c r="Z17" s="219" t="s">
        <v>1075</v>
      </c>
      <c r="AA17" s="220">
        <v>0.2638888888888889</v>
      </c>
      <c r="AB17" s="220"/>
      <c r="AC17" s="220"/>
      <c r="AD17" s="220">
        <v>0.7680555555555556</v>
      </c>
      <c r="AE17" s="221">
        <f>IF(Plant_BD[[#This Row],[Acknowledgement Time ]]="NA","",(Plant_BD[[#This Row],[Acknowledgement Time ]]-Plant_BD[[#This Row],[Fault Time]])*24)</f>
        <v>-6.3333333333333339</v>
      </c>
      <c r="AF17" s="221">
        <f>IF(Plant_BD[[#This Row],[Work Start time on Fault]]="NA","",(Plant_BD[[#This Row],[Work Start time on Fault]]-Plant_BD[[#This Row],[Fault Time]])*24)</f>
        <v>-6.3333333333333339</v>
      </c>
      <c r="AG17" s="17">
        <f>(Plant_BD[[#This Row],[Work Completion time on fault]]-Plant_BD[[#This Row],[Fault Time]])*24</f>
        <v>12.1</v>
      </c>
      <c r="AH17" s="17">
        <f>IFERROR((Plant_BD[[#This Row],[Work Completion time on fault]]-Plant_BD[[#This Row],[Fault Time]])*24,"")</f>
        <v>12.1</v>
      </c>
      <c r="AI17" s="222" t="s">
        <v>1072</v>
      </c>
      <c r="AJ17" s="6" t="s">
        <v>1068</v>
      </c>
      <c r="AK17" s="223">
        <f>IFERROR(Plant_BD[[#This Row],[Breakdown Time]]*Plant_BD[[#This Row],[Plant Equivalent Weightage]],"")</f>
        <v>0.99383859666620955</v>
      </c>
      <c r="AL17" s="6">
        <v>5.95</v>
      </c>
      <c r="AM17" s="221">
        <f>_xlfn.XLOOKUP($G17,'Modelling New'!$D:$D,'Modelling New'!$O:$O)*Plant_BD[[#This Row],[Lost PoA(kWh/m2)]]*Plant_BD[[#This Row],[DC Capacity Affected (kW)]]</f>
        <v>2797.0228509815061</v>
      </c>
      <c r="AN17" s="6"/>
      <c r="AO17" s="6"/>
      <c r="AP17" s="224"/>
    </row>
    <row r="18" spans="1:42" x14ac:dyDescent="0.3">
      <c r="A18" s="171">
        <f t="shared" si="0"/>
        <v>17</v>
      </c>
      <c r="B18" s="200">
        <v>45746</v>
      </c>
      <c r="C18" s="212">
        <f>YEAR(Plant_BD[[#This Row],[Date]])+IF(MONTH(Plant_BD[[#This Row],[Date]])&gt;=4,1,0)</f>
        <v>2025</v>
      </c>
      <c r="D18" s="212">
        <f>YEAR(Plant_BD[[#This Row],[Date]])</f>
        <v>2025</v>
      </c>
      <c r="E18" s="77" t="s">
        <v>1070</v>
      </c>
      <c r="F18" s="77" t="s">
        <v>1070</v>
      </c>
      <c r="G18" s="213">
        <f>Plant_BD[[#This Row],[Date]]-DAY(Plant_BD[[#This Row],[Date]])+1</f>
        <v>45717</v>
      </c>
      <c r="H18" s="3">
        <f>DAY(EOMONTH(Plant_BD[[#This Row],[Month Year]],0))</f>
        <v>31</v>
      </c>
      <c r="I18" s="214">
        <f>_xlfn.XLOOKUP(Plant_BD[[#This Row],[Date]],'Raw Data'!$G:$G,'Raw Data'!$I:$I)</f>
        <v>0.2638888888888889</v>
      </c>
      <c r="J18" s="214">
        <f>_xlfn.XLOOKUP(Plant_BD[[#This Row],[Date]],'Raw Data'!$G:$G,'Raw Data'!$J:$J)</f>
        <v>0.7680555555555556</v>
      </c>
      <c r="K18" s="215">
        <f>IFERROR((Plant_BD[[#This Row],[Sunset Time (POA&lt;20 W/m2)]]-Plant_BD[[#This Row],[Sunrise Time (POA&gt;20 W/m2)]])*24,"")</f>
        <v>12.1</v>
      </c>
      <c r="L18" s="215"/>
      <c r="M18" s="215"/>
      <c r="N18" s="215"/>
      <c r="O18" s="215"/>
      <c r="P18" s="215"/>
      <c r="Q18" s="215"/>
      <c r="R18" s="215"/>
      <c r="S18" s="215"/>
      <c r="T18" s="216" t="s">
        <v>219</v>
      </c>
      <c r="U18" s="16">
        <f>IFERROR(_xlfn.XLOOKUP(Plant_BD[[#This Row],[Affected Equipment]],'Basic Data'!$A:$A,'Basic Data'!$B:$B),"")</f>
        <v>669.6</v>
      </c>
      <c r="V18" s="217">
        <f>IFERROR(_xlfn.XLOOKUP(Plant_BD[[#This Row],[Affected Equipment]],'Basic Data'!$A:$A,'Basic Data'!$C:$C),"")</f>
        <v>8.348190352703562E-2</v>
      </c>
      <c r="W18" s="218" t="s">
        <v>311</v>
      </c>
      <c r="X18" s="218" t="s">
        <v>1076</v>
      </c>
      <c r="Y18" s="218"/>
      <c r="Z18" s="219" t="s">
        <v>1076</v>
      </c>
      <c r="AA18" s="220">
        <v>0.2638888888888889</v>
      </c>
      <c r="AB18" s="220"/>
      <c r="AC18" s="220"/>
      <c r="AD18" s="220">
        <v>0.42986111111111114</v>
      </c>
      <c r="AE18" s="221">
        <f>IF(Plant_BD[[#This Row],[Acknowledgement Time ]]="NA","",(Plant_BD[[#This Row],[Acknowledgement Time ]]-Plant_BD[[#This Row],[Fault Time]])*24)</f>
        <v>-6.3333333333333339</v>
      </c>
      <c r="AF18" s="221">
        <f>IF(Plant_BD[[#This Row],[Work Start time on Fault]]="NA","",(Plant_BD[[#This Row],[Work Start time on Fault]]-Plant_BD[[#This Row],[Fault Time]])*24)</f>
        <v>-6.3333333333333339</v>
      </c>
      <c r="AG18" s="17">
        <f>(Plant_BD[[#This Row],[Work Completion time on fault]]-Plant_BD[[#This Row],[Fault Time]])*24</f>
        <v>3.9833333333333338</v>
      </c>
      <c r="AH18" s="17">
        <f>IFERROR((Plant_BD[[#This Row],[Work Completion time on fault]]-Plant_BD[[#This Row],[Fault Time]])*24,"")</f>
        <v>3.9833333333333338</v>
      </c>
      <c r="AI18" s="222" t="s">
        <v>1072</v>
      </c>
      <c r="AJ18" s="6" t="s">
        <v>1068</v>
      </c>
      <c r="AK18" s="223">
        <f>IFERROR(Plant_BD[[#This Row],[Breakdown Time]]*Plant_BD[[#This Row],[Plant Equivalent Weightage]],"")</f>
        <v>0.33253624904935858</v>
      </c>
      <c r="AL18" s="6">
        <v>1.2</v>
      </c>
      <c r="AM18" s="221">
        <f>_xlfn.XLOOKUP($G18,'Modelling New'!$D:$D,'Modelling New'!$O:$O)*Plant_BD[[#This Row],[Lost PoA(kWh/m2)]]*Plant_BD[[#This Row],[DC Capacity Affected (kW)]]</f>
        <v>573.35307924789652</v>
      </c>
      <c r="AN18" s="6"/>
      <c r="AO18" s="6"/>
      <c r="AP18" s="224"/>
    </row>
    <row r="19" spans="1:42" x14ac:dyDescent="0.3">
      <c r="A19" s="171">
        <f t="shared" si="0"/>
        <v>18</v>
      </c>
      <c r="B19" s="200">
        <v>45746</v>
      </c>
      <c r="C19" s="212">
        <f>YEAR(Plant_BD[[#This Row],[Date]])+IF(MONTH(Plant_BD[[#This Row],[Date]])&gt;=4,1,0)</f>
        <v>2025</v>
      </c>
      <c r="D19" s="212">
        <f>YEAR(Plant_BD[[#This Row],[Date]])</f>
        <v>2025</v>
      </c>
      <c r="E19" s="77" t="s">
        <v>1070</v>
      </c>
      <c r="F19" s="77" t="s">
        <v>1070</v>
      </c>
      <c r="G19" s="213">
        <f>Plant_BD[[#This Row],[Date]]-DAY(Plant_BD[[#This Row],[Date]])+1</f>
        <v>45717</v>
      </c>
      <c r="H19" s="3">
        <f>DAY(EOMONTH(Plant_BD[[#This Row],[Month Year]],0))</f>
        <v>31</v>
      </c>
      <c r="I19" s="214">
        <f>_xlfn.XLOOKUP(Plant_BD[[#This Row],[Date]],'Raw Data'!$G:$G,'Raw Data'!$I:$I)</f>
        <v>0.2638888888888889</v>
      </c>
      <c r="J19" s="214">
        <f>_xlfn.XLOOKUP(Plant_BD[[#This Row],[Date]],'Raw Data'!$G:$G,'Raw Data'!$J:$J)</f>
        <v>0.7680555555555556</v>
      </c>
      <c r="K19" s="215">
        <f>IFERROR((Plant_BD[[#This Row],[Sunset Time (POA&lt;20 W/m2)]]-Plant_BD[[#This Row],[Sunrise Time (POA&gt;20 W/m2)]])*24,"")</f>
        <v>12.1</v>
      </c>
      <c r="L19" s="215"/>
      <c r="M19" s="215"/>
      <c r="N19" s="215"/>
      <c r="O19" s="215"/>
      <c r="P19" s="215"/>
      <c r="Q19" s="215"/>
      <c r="R19" s="215"/>
      <c r="S19" s="215"/>
      <c r="T19" s="216" t="s">
        <v>168</v>
      </c>
      <c r="U19" s="16">
        <f>IFERROR(_xlfn.XLOOKUP(Plant_BD[[#This Row],[Affected Equipment]],'Basic Data'!$A:$A,'Basic Data'!$B:$B),"")</f>
        <v>2694.6</v>
      </c>
      <c r="V19" s="217">
        <f>IFERROR(_xlfn.XLOOKUP(Plant_BD[[#This Row],[Affected Equipment]],'Basic Data'!$A:$A,'Basic Data'!$C:$C),"")</f>
        <v>0.33594733758057077</v>
      </c>
      <c r="W19" s="218" t="s">
        <v>311</v>
      </c>
      <c r="X19" s="218" t="s">
        <v>1073</v>
      </c>
      <c r="Y19" s="218"/>
      <c r="Z19" s="219" t="s">
        <v>1077</v>
      </c>
      <c r="AA19" s="220">
        <v>0.42986111111111114</v>
      </c>
      <c r="AB19" s="220"/>
      <c r="AC19" s="220"/>
      <c r="AD19" s="220">
        <v>0.43472222222222223</v>
      </c>
      <c r="AE19" s="221">
        <f>IF(Plant_BD[[#This Row],[Acknowledgement Time ]]="NA","",(Plant_BD[[#This Row],[Acknowledgement Time ]]-Plant_BD[[#This Row],[Fault Time]])*24)</f>
        <v>-10.316666666666666</v>
      </c>
      <c r="AF19" s="221">
        <f>IF(Plant_BD[[#This Row],[Work Start time on Fault]]="NA","",(Plant_BD[[#This Row],[Work Start time on Fault]]-Plant_BD[[#This Row],[Fault Time]])*24)</f>
        <v>-10.316666666666666</v>
      </c>
      <c r="AG19" s="17">
        <f>(Plant_BD[[#This Row],[Work Completion time on fault]]-Plant_BD[[#This Row],[Fault Time]])*24</f>
        <v>0.11666666666666625</v>
      </c>
      <c r="AH19" s="17">
        <f>IFERROR((Plant_BD[[#This Row],[Work Completion time on fault]]-Plant_BD[[#This Row],[Fault Time]])*24,"")</f>
        <v>0.11666666666666625</v>
      </c>
      <c r="AI19" s="222" t="s">
        <v>1074</v>
      </c>
      <c r="AJ19" s="6" t="s">
        <v>1069</v>
      </c>
      <c r="AK19" s="223">
        <f>IFERROR(Plant_BD[[#This Row],[Breakdown Time]]*Plant_BD[[#This Row],[Plant Equivalent Weightage]],"")</f>
        <v>3.9193856051066449E-2</v>
      </c>
      <c r="AL19" s="6">
        <v>0.09</v>
      </c>
      <c r="AM19" s="221">
        <f>_xlfn.XLOOKUP($G19,'Modelling New'!$D:$D,'Modelling New'!$O:$O)*Plant_BD[[#This Row],[Lost PoA(kWh/m2)]]*Plant_BD[[#This Row],[DC Capacity Affected (kW)]]</f>
        <v>173.04628218429457</v>
      </c>
      <c r="AN19" s="6"/>
      <c r="AO19" s="6"/>
      <c r="AP19" s="224"/>
    </row>
    <row r="20" spans="1:42" x14ac:dyDescent="0.3">
      <c r="A20" s="171">
        <f t="shared" si="0"/>
        <v>19</v>
      </c>
      <c r="B20" s="200">
        <v>45746</v>
      </c>
      <c r="C20" s="212">
        <f>YEAR(Plant_BD[[#This Row],[Date]])+IF(MONTH(Plant_BD[[#This Row],[Date]])&gt;=4,1,0)</f>
        <v>2025</v>
      </c>
      <c r="D20" s="212">
        <f>YEAR(Plant_BD[[#This Row],[Date]])</f>
        <v>2025</v>
      </c>
      <c r="E20" s="77" t="s">
        <v>1070</v>
      </c>
      <c r="F20" s="77" t="s">
        <v>1070</v>
      </c>
      <c r="G20" s="213">
        <f>Plant_BD[[#This Row],[Date]]-DAY(Plant_BD[[#This Row],[Date]])+1</f>
        <v>45717</v>
      </c>
      <c r="H20" s="3">
        <f>DAY(EOMONTH(Plant_BD[[#This Row],[Month Year]],0))</f>
        <v>31</v>
      </c>
      <c r="I20" s="214">
        <f>_xlfn.XLOOKUP(Plant_BD[[#This Row],[Date]],'Raw Data'!$G:$G,'Raw Data'!$I:$I)</f>
        <v>0.2638888888888889</v>
      </c>
      <c r="J20" s="214">
        <f>_xlfn.XLOOKUP(Plant_BD[[#This Row],[Date]],'Raw Data'!$G:$G,'Raw Data'!$J:$J)</f>
        <v>0.7680555555555556</v>
      </c>
      <c r="K20" s="215">
        <f>IFERROR((Plant_BD[[#This Row],[Sunset Time (POA&lt;20 W/m2)]]-Plant_BD[[#This Row],[Sunrise Time (POA&gt;20 W/m2)]])*24,"")</f>
        <v>12.1</v>
      </c>
      <c r="L20" s="215"/>
      <c r="M20" s="215"/>
      <c r="N20" s="215"/>
      <c r="O20" s="215"/>
      <c r="P20" s="215"/>
      <c r="Q20" s="215"/>
      <c r="R20" s="215"/>
      <c r="S20" s="215"/>
      <c r="T20" s="216" t="s">
        <v>219</v>
      </c>
      <c r="U20" s="16">
        <f>IFERROR(_xlfn.XLOOKUP(Plant_BD[[#This Row],[Affected Equipment]],'Basic Data'!$A:$A,'Basic Data'!$B:$B),"")</f>
        <v>669.6</v>
      </c>
      <c r="V20" s="217">
        <f>IFERROR(_xlfn.XLOOKUP(Plant_BD[[#This Row],[Affected Equipment]],'Basic Data'!$A:$A,'Basic Data'!$C:$C),"")</f>
        <v>8.348190352703562E-2</v>
      </c>
      <c r="W20" s="218" t="s">
        <v>311</v>
      </c>
      <c r="X20" s="218" t="s">
        <v>1076</v>
      </c>
      <c r="Y20" s="218"/>
      <c r="Z20" s="219" t="s">
        <v>1076</v>
      </c>
      <c r="AA20" s="220">
        <v>0.43472222222222223</v>
      </c>
      <c r="AB20" s="220"/>
      <c r="AC20" s="220"/>
      <c r="AD20" s="220">
        <v>0.44166666666666665</v>
      </c>
      <c r="AE20" s="221">
        <f>IF(Plant_BD[[#This Row],[Acknowledgement Time ]]="NA","",(Plant_BD[[#This Row],[Acknowledgement Time ]]-Plant_BD[[#This Row],[Fault Time]])*24)</f>
        <v>-10.433333333333334</v>
      </c>
      <c r="AF20" s="221">
        <f>IF(Plant_BD[[#This Row],[Work Start time on Fault]]="NA","",(Plant_BD[[#This Row],[Work Start time on Fault]]-Plant_BD[[#This Row],[Fault Time]])*24)</f>
        <v>-10.433333333333334</v>
      </c>
      <c r="AG20" s="17">
        <f>(Plant_BD[[#This Row],[Work Completion time on fault]]-Plant_BD[[#This Row],[Fault Time]])*24</f>
        <v>0.16666666666666607</v>
      </c>
      <c r="AH20" s="17">
        <f>IFERROR((Plant_BD[[#This Row],[Work Completion time on fault]]-Plant_BD[[#This Row],[Fault Time]])*24,"")</f>
        <v>0.16666666666666607</v>
      </c>
      <c r="AI20" s="222" t="s">
        <v>1072</v>
      </c>
      <c r="AJ20" s="6" t="s">
        <v>1068</v>
      </c>
      <c r="AK20" s="223">
        <f>IFERROR(Plant_BD[[#This Row],[Breakdown Time]]*Plant_BD[[#This Row],[Plant Equivalent Weightage]],"")</f>
        <v>1.3913650587839221E-2</v>
      </c>
      <c r="AL20" s="6">
        <v>0.12</v>
      </c>
      <c r="AM20" s="221">
        <f>_xlfn.XLOOKUP($G20,'Modelling New'!$D:$D,'Modelling New'!$O:$O)*Plant_BD[[#This Row],[Lost PoA(kWh/m2)]]*Plant_BD[[#This Row],[DC Capacity Affected (kW)]]</f>
        <v>57.335307924789653</v>
      </c>
      <c r="AN20" s="6"/>
      <c r="AO20" s="6"/>
      <c r="AP20" s="224"/>
    </row>
    <row r="21" spans="1:42" x14ac:dyDescent="0.3">
      <c r="A21" s="171">
        <f t="shared" si="0"/>
        <v>20</v>
      </c>
      <c r="B21" s="200">
        <v>45746</v>
      </c>
      <c r="C21" s="212">
        <f>YEAR(Plant_BD[[#This Row],[Date]])+IF(MONTH(Plant_BD[[#This Row],[Date]])&gt;=4,1,0)</f>
        <v>2025</v>
      </c>
      <c r="D21" s="212">
        <f>YEAR(Plant_BD[[#This Row],[Date]])</f>
        <v>2025</v>
      </c>
      <c r="E21" s="77" t="s">
        <v>1070</v>
      </c>
      <c r="F21" s="77" t="s">
        <v>1070</v>
      </c>
      <c r="G21" s="213">
        <f>Plant_BD[[#This Row],[Date]]-DAY(Plant_BD[[#This Row],[Date]])+1</f>
        <v>45717</v>
      </c>
      <c r="H21" s="3">
        <f>DAY(EOMONTH(Plant_BD[[#This Row],[Month Year]],0))</f>
        <v>31</v>
      </c>
      <c r="I21" s="214">
        <f>_xlfn.XLOOKUP(Plant_BD[[#This Row],[Date]],'Raw Data'!$G:$G,'Raw Data'!$I:$I)</f>
        <v>0.2638888888888889</v>
      </c>
      <c r="J21" s="214">
        <f>_xlfn.XLOOKUP(Plant_BD[[#This Row],[Date]],'Raw Data'!$G:$G,'Raw Data'!$J:$J)</f>
        <v>0.7680555555555556</v>
      </c>
      <c r="K21" s="215">
        <f>IFERROR((Plant_BD[[#This Row],[Sunset Time (POA&lt;20 W/m2)]]-Plant_BD[[#This Row],[Sunrise Time (POA&gt;20 W/m2)]])*24,"")</f>
        <v>12.1</v>
      </c>
      <c r="L21" s="215"/>
      <c r="M21" s="215"/>
      <c r="N21" s="215"/>
      <c r="O21" s="215"/>
      <c r="P21" s="215"/>
      <c r="Q21" s="215"/>
      <c r="R21" s="215"/>
      <c r="S21" s="215"/>
      <c r="T21" s="216" t="s">
        <v>220</v>
      </c>
      <c r="U21" s="16">
        <f>IFERROR(_xlfn.XLOOKUP(Plant_BD[[#This Row],[Affected Equipment]],'Basic Data'!$A:$A,'Basic Data'!$B:$B),"")</f>
        <v>669.6</v>
      </c>
      <c r="V21" s="217">
        <f>IFERROR(_xlfn.XLOOKUP(Plant_BD[[#This Row],[Affected Equipment]],'Basic Data'!$A:$A,'Basic Data'!$C:$C),"")</f>
        <v>8.348190352703562E-2</v>
      </c>
      <c r="W21" s="218" t="s">
        <v>311</v>
      </c>
      <c r="X21" s="218" t="s">
        <v>1078</v>
      </c>
      <c r="Y21" s="218"/>
      <c r="Z21" s="219" t="s">
        <v>1078</v>
      </c>
      <c r="AA21" s="220">
        <v>0.43472222222222223</v>
      </c>
      <c r="AB21" s="220"/>
      <c r="AC21" s="220"/>
      <c r="AD21" s="220">
        <v>0.44166666666666665</v>
      </c>
      <c r="AE21" s="221">
        <f>IF(Plant_BD[[#This Row],[Acknowledgement Time ]]="NA","",(Plant_BD[[#This Row],[Acknowledgement Time ]]-Plant_BD[[#This Row],[Fault Time]])*24)</f>
        <v>-10.433333333333334</v>
      </c>
      <c r="AF21" s="221">
        <f>IF(Plant_BD[[#This Row],[Work Start time on Fault]]="NA","",(Plant_BD[[#This Row],[Work Start time on Fault]]-Plant_BD[[#This Row],[Fault Time]])*24)</f>
        <v>-10.433333333333334</v>
      </c>
      <c r="AG21" s="17">
        <f>(Plant_BD[[#This Row],[Work Completion time on fault]]-Plant_BD[[#This Row],[Fault Time]])*24</f>
        <v>0.16666666666666607</v>
      </c>
      <c r="AH21" s="17">
        <f>IFERROR((Plant_BD[[#This Row],[Work Completion time on fault]]-Plant_BD[[#This Row],[Fault Time]])*24,"")</f>
        <v>0.16666666666666607</v>
      </c>
      <c r="AI21" s="222" t="s">
        <v>1078</v>
      </c>
      <c r="AJ21" s="6" t="s">
        <v>1068</v>
      </c>
      <c r="AK21" s="223">
        <f>IFERROR(Plant_BD[[#This Row],[Breakdown Time]]*Plant_BD[[#This Row],[Plant Equivalent Weightage]],"")</f>
        <v>1.3913650587839221E-2</v>
      </c>
      <c r="AL21" s="6">
        <v>0.12</v>
      </c>
      <c r="AM21" s="221">
        <f>_xlfn.XLOOKUP($G21,'Modelling New'!$D:$D,'Modelling New'!$O:$O)*Plant_BD[[#This Row],[Lost PoA(kWh/m2)]]*Plant_BD[[#This Row],[DC Capacity Affected (kW)]]</f>
        <v>57.335307924789653</v>
      </c>
      <c r="AN21" s="6"/>
      <c r="AO21" s="6"/>
      <c r="AP21" s="224"/>
    </row>
    <row r="22" spans="1:42" x14ac:dyDescent="0.3">
      <c r="A22" s="171">
        <f t="shared" si="0"/>
        <v>21</v>
      </c>
      <c r="B22" s="200">
        <v>45746</v>
      </c>
      <c r="C22" s="212">
        <f>YEAR(Plant_BD[[#This Row],[Date]])+IF(MONTH(Plant_BD[[#This Row],[Date]])&gt;=4,1,0)</f>
        <v>2025</v>
      </c>
      <c r="D22" s="212">
        <f>YEAR(Plant_BD[[#This Row],[Date]])</f>
        <v>2025</v>
      </c>
      <c r="E22" s="77" t="s">
        <v>1070</v>
      </c>
      <c r="F22" s="77" t="s">
        <v>1070</v>
      </c>
      <c r="G22" s="213">
        <f>Plant_BD[[#This Row],[Date]]-DAY(Plant_BD[[#This Row],[Date]])+1</f>
        <v>45717</v>
      </c>
      <c r="H22" s="3">
        <f>DAY(EOMONTH(Plant_BD[[#This Row],[Month Year]],0))</f>
        <v>31</v>
      </c>
      <c r="I22" s="214">
        <f>_xlfn.XLOOKUP(Plant_BD[[#This Row],[Date]],'Raw Data'!$G:$G,'Raw Data'!$I:$I)</f>
        <v>0.2638888888888889</v>
      </c>
      <c r="J22" s="214">
        <f>_xlfn.XLOOKUP(Plant_BD[[#This Row],[Date]],'Raw Data'!$G:$G,'Raw Data'!$J:$J)</f>
        <v>0.7680555555555556</v>
      </c>
      <c r="K22" s="215">
        <f>IFERROR((Plant_BD[[#This Row],[Sunset Time (POA&lt;20 W/m2)]]-Plant_BD[[#This Row],[Sunrise Time (POA&gt;20 W/m2)]])*24,"")</f>
        <v>12.1</v>
      </c>
      <c r="L22" s="215"/>
      <c r="M22" s="215"/>
      <c r="N22" s="215"/>
      <c r="O22" s="215"/>
      <c r="P22" s="215"/>
      <c r="Q22" s="215"/>
      <c r="R22" s="215"/>
      <c r="S22" s="215"/>
      <c r="T22" s="216" t="s">
        <v>168</v>
      </c>
      <c r="U22" s="16">
        <f>IFERROR(_xlfn.XLOOKUP(Plant_BD[[#This Row],[Affected Equipment]],'Basic Data'!$A:$A,'Basic Data'!$B:$B),"")</f>
        <v>2694.6</v>
      </c>
      <c r="V22" s="217">
        <f>IFERROR(_xlfn.XLOOKUP(Plant_BD[[#This Row],[Affected Equipment]],'Basic Data'!$A:$A,'Basic Data'!$C:$C),"")</f>
        <v>0.33594733758057077</v>
      </c>
      <c r="W22" s="218" t="s">
        <v>311</v>
      </c>
      <c r="X22" s="218" t="s">
        <v>1073</v>
      </c>
      <c r="Y22" s="218"/>
      <c r="Z22" s="219" t="s">
        <v>1077</v>
      </c>
      <c r="AA22" s="220">
        <v>0.44166666666666665</v>
      </c>
      <c r="AB22" s="220"/>
      <c r="AC22" s="220"/>
      <c r="AD22" s="220">
        <v>0.44722222222222224</v>
      </c>
      <c r="AE22" s="221">
        <f>IF(Plant_BD[[#This Row],[Acknowledgement Time ]]="NA","",(Plant_BD[[#This Row],[Acknowledgement Time ]]-Plant_BD[[#This Row],[Fault Time]])*24)</f>
        <v>-10.6</v>
      </c>
      <c r="AF22" s="221">
        <f>IF(Plant_BD[[#This Row],[Work Start time on Fault]]="NA","",(Plant_BD[[#This Row],[Work Start time on Fault]]-Plant_BD[[#This Row],[Fault Time]])*24)</f>
        <v>-10.6</v>
      </c>
      <c r="AG22" s="17">
        <f>(Plant_BD[[#This Row],[Work Completion time on fault]]-Plant_BD[[#This Row],[Fault Time]])*24</f>
        <v>0.13333333333333419</v>
      </c>
      <c r="AH22" s="17">
        <f>IFERROR((Plant_BD[[#This Row],[Work Completion time on fault]]-Plant_BD[[#This Row],[Fault Time]])*24,"")</f>
        <v>0.13333333333333419</v>
      </c>
      <c r="AI22" s="222" t="s">
        <v>1074</v>
      </c>
      <c r="AJ22" s="6" t="s">
        <v>1069</v>
      </c>
      <c r="AK22" s="223">
        <f>IFERROR(Plant_BD[[#This Row],[Breakdown Time]]*Plant_BD[[#This Row],[Plant Equivalent Weightage]],"")</f>
        <v>4.479297834407639E-2</v>
      </c>
      <c r="AL22" s="6">
        <v>0.11</v>
      </c>
      <c r="AM22" s="221">
        <f>_xlfn.XLOOKUP($G22,'Modelling New'!$D:$D,'Modelling New'!$O:$O)*Plant_BD[[#This Row],[Lost PoA(kWh/m2)]]*Plant_BD[[#This Row],[DC Capacity Affected (kW)]]</f>
        <v>211.50101155858223</v>
      </c>
      <c r="AN22" s="6"/>
      <c r="AO22" s="6"/>
      <c r="AP22" s="224"/>
    </row>
    <row r="23" spans="1:42" x14ac:dyDescent="0.3">
      <c r="A23" s="171">
        <f t="shared" si="0"/>
        <v>22</v>
      </c>
      <c r="B23" s="200">
        <v>45746</v>
      </c>
      <c r="C23" s="212">
        <f>YEAR(Plant_BD[[#This Row],[Date]])+IF(MONTH(Plant_BD[[#This Row],[Date]])&gt;=4,1,0)</f>
        <v>2025</v>
      </c>
      <c r="D23" s="212">
        <f>YEAR(Plant_BD[[#This Row],[Date]])</f>
        <v>2025</v>
      </c>
      <c r="E23" s="77" t="s">
        <v>1070</v>
      </c>
      <c r="F23" s="77" t="s">
        <v>1070</v>
      </c>
      <c r="G23" s="213">
        <f>Plant_BD[[#This Row],[Date]]-DAY(Plant_BD[[#This Row],[Date]])+1</f>
        <v>45717</v>
      </c>
      <c r="H23" s="3">
        <f>DAY(EOMONTH(Plant_BD[[#This Row],[Month Year]],0))</f>
        <v>31</v>
      </c>
      <c r="I23" s="214">
        <f>_xlfn.XLOOKUP(Plant_BD[[#This Row],[Date]],'Raw Data'!$G:$G,'Raw Data'!$I:$I)</f>
        <v>0.2638888888888889</v>
      </c>
      <c r="J23" s="214">
        <f>_xlfn.XLOOKUP(Plant_BD[[#This Row],[Date]],'Raw Data'!$G:$G,'Raw Data'!$J:$J)</f>
        <v>0.7680555555555556</v>
      </c>
      <c r="K23" s="215">
        <f>IFERROR((Plant_BD[[#This Row],[Sunset Time (POA&lt;20 W/m2)]]-Plant_BD[[#This Row],[Sunrise Time (POA&gt;20 W/m2)]])*24,"")</f>
        <v>12.1</v>
      </c>
      <c r="L23" s="215"/>
      <c r="M23" s="215"/>
      <c r="N23" s="215"/>
      <c r="O23" s="215"/>
      <c r="P23" s="215"/>
      <c r="Q23" s="215"/>
      <c r="R23" s="215"/>
      <c r="S23" s="215"/>
      <c r="T23" s="216" t="s">
        <v>219</v>
      </c>
      <c r="U23" s="16">
        <f>IFERROR(_xlfn.XLOOKUP(Plant_BD[[#This Row],[Affected Equipment]],'Basic Data'!$A:$A,'Basic Data'!$B:$B),"")</f>
        <v>669.6</v>
      </c>
      <c r="V23" s="217">
        <f>IFERROR(_xlfn.XLOOKUP(Plant_BD[[#This Row],[Affected Equipment]],'Basic Data'!$A:$A,'Basic Data'!$C:$C),"")</f>
        <v>8.348190352703562E-2</v>
      </c>
      <c r="W23" s="218" t="s">
        <v>311</v>
      </c>
      <c r="X23" s="218" t="s">
        <v>1076</v>
      </c>
      <c r="Y23" s="218"/>
      <c r="Z23" s="219" t="s">
        <v>1076</v>
      </c>
      <c r="AA23" s="220">
        <v>0.44722222222222224</v>
      </c>
      <c r="AB23" s="220"/>
      <c r="AC23" s="220"/>
      <c r="AD23" s="220">
        <v>0.6875</v>
      </c>
      <c r="AE23" s="221">
        <f>IF(Plant_BD[[#This Row],[Acknowledgement Time ]]="NA","",(Plant_BD[[#This Row],[Acknowledgement Time ]]-Plant_BD[[#This Row],[Fault Time]])*24)</f>
        <v>-10.733333333333334</v>
      </c>
      <c r="AF23" s="221">
        <f>IF(Plant_BD[[#This Row],[Work Start time on Fault]]="NA","",(Plant_BD[[#This Row],[Work Start time on Fault]]-Plant_BD[[#This Row],[Fault Time]])*24)</f>
        <v>-10.733333333333334</v>
      </c>
      <c r="AG23" s="17">
        <f>(Plant_BD[[#This Row],[Work Completion time on fault]]-Plant_BD[[#This Row],[Fault Time]])*24</f>
        <v>5.7666666666666657</v>
      </c>
      <c r="AH23" s="17">
        <f>IFERROR((Plant_BD[[#This Row],[Work Completion time on fault]]-Plant_BD[[#This Row],[Fault Time]])*24,"")</f>
        <v>5.7666666666666657</v>
      </c>
      <c r="AI23" s="222" t="s">
        <v>1072</v>
      </c>
      <c r="AJ23" s="6" t="s">
        <v>1068</v>
      </c>
      <c r="AK23" s="223">
        <f>IFERROR(Plant_BD[[#This Row],[Breakdown Time]]*Plant_BD[[#This Row],[Plant Equivalent Weightage]],"")</f>
        <v>0.48141231033923865</v>
      </c>
      <c r="AL23" s="6">
        <v>4.24</v>
      </c>
      <c r="AM23" s="221">
        <f>_xlfn.XLOOKUP($G23,'Modelling New'!$D:$D,'Modelling New'!$O:$O)*Plant_BD[[#This Row],[Lost PoA(kWh/m2)]]*Plant_BD[[#This Row],[DC Capacity Affected (kW)]]</f>
        <v>2025.8475466759012</v>
      </c>
      <c r="AN23" s="6"/>
      <c r="AO23" s="6"/>
      <c r="AP23" s="224"/>
    </row>
    <row r="24" spans="1:42" x14ac:dyDescent="0.3">
      <c r="A24" s="171">
        <f t="shared" si="0"/>
        <v>23</v>
      </c>
      <c r="B24" s="200">
        <v>45746</v>
      </c>
      <c r="C24" s="212">
        <f>YEAR(Plant_BD[[#This Row],[Date]])+IF(MONTH(Plant_BD[[#This Row],[Date]])&gt;=4,1,0)</f>
        <v>2025</v>
      </c>
      <c r="D24" s="212">
        <f>YEAR(Plant_BD[[#This Row],[Date]])</f>
        <v>2025</v>
      </c>
      <c r="E24" s="77" t="s">
        <v>1070</v>
      </c>
      <c r="F24" s="77" t="s">
        <v>1070</v>
      </c>
      <c r="G24" s="213">
        <f>Plant_BD[[#This Row],[Date]]-DAY(Plant_BD[[#This Row],[Date]])+1</f>
        <v>45717</v>
      </c>
      <c r="H24" s="3">
        <f>DAY(EOMONTH(Plant_BD[[#This Row],[Month Year]],0))</f>
        <v>31</v>
      </c>
      <c r="I24" s="214">
        <f>_xlfn.XLOOKUP(Plant_BD[[#This Row],[Date]],'Raw Data'!$G:$G,'Raw Data'!$I:$I)</f>
        <v>0.2638888888888889</v>
      </c>
      <c r="J24" s="214">
        <f>_xlfn.XLOOKUP(Plant_BD[[#This Row],[Date]],'Raw Data'!$G:$G,'Raw Data'!$J:$J)</f>
        <v>0.7680555555555556</v>
      </c>
      <c r="K24" s="215">
        <f>IFERROR((Plant_BD[[#This Row],[Sunset Time (POA&lt;20 W/m2)]]-Plant_BD[[#This Row],[Sunrise Time (POA&gt;20 W/m2)]])*24,"")</f>
        <v>12.1</v>
      </c>
      <c r="L24" s="215"/>
      <c r="M24" s="215"/>
      <c r="N24" s="215"/>
      <c r="O24" s="215"/>
      <c r="P24" s="215"/>
      <c r="Q24" s="215"/>
      <c r="R24" s="215"/>
      <c r="S24" s="215"/>
      <c r="T24" s="216" t="s">
        <v>220</v>
      </c>
      <c r="U24" s="16">
        <f>IFERROR(_xlfn.XLOOKUP(Plant_BD[[#This Row],[Affected Equipment]],'Basic Data'!$A:$A,'Basic Data'!$B:$B),"")</f>
        <v>669.6</v>
      </c>
      <c r="V24" s="217">
        <f>IFERROR(_xlfn.XLOOKUP(Plant_BD[[#This Row],[Affected Equipment]],'Basic Data'!$A:$A,'Basic Data'!$C:$C),"")</f>
        <v>8.348190352703562E-2</v>
      </c>
      <c r="W24" s="218" t="s">
        <v>311</v>
      </c>
      <c r="X24" s="218" t="s">
        <v>1078</v>
      </c>
      <c r="Y24" s="218"/>
      <c r="Z24" s="219" t="s">
        <v>1078</v>
      </c>
      <c r="AA24" s="220">
        <v>0.44722222222222224</v>
      </c>
      <c r="AB24" s="220"/>
      <c r="AC24" s="220"/>
      <c r="AD24" s="220">
        <v>0.6875</v>
      </c>
      <c r="AE24" s="221">
        <f>IF(Plant_BD[[#This Row],[Acknowledgement Time ]]="NA","",(Plant_BD[[#This Row],[Acknowledgement Time ]]-Plant_BD[[#This Row],[Fault Time]])*24)</f>
        <v>-10.733333333333334</v>
      </c>
      <c r="AF24" s="221">
        <f>IF(Plant_BD[[#This Row],[Work Start time on Fault]]="NA","",(Plant_BD[[#This Row],[Work Start time on Fault]]-Plant_BD[[#This Row],[Fault Time]])*24)</f>
        <v>-10.733333333333334</v>
      </c>
      <c r="AG24" s="17">
        <f>(Plant_BD[[#This Row],[Work Completion time on fault]]-Plant_BD[[#This Row],[Fault Time]])*24</f>
        <v>5.7666666666666657</v>
      </c>
      <c r="AH24" s="17">
        <f>IFERROR((Plant_BD[[#This Row],[Work Completion time on fault]]-Plant_BD[[#This Row],[Fault Time]])*24,"")</f>
        <v>5.7666666666666657</v>
      </c>
      <c r="AI24" s="222" t="s">
        <v>1078</v>
      </c>
      <c r="AJ24" s="6" t="s">
        <v>1068</v>
      </c>
      <c r="AK24" s="223">
        <f>IFERROR(Plant_BD[[#This Row],[Breakdown Time]]*Plant_BD[[#This Row],[Plant Equivalent Weightage]],"")</f>
        <v>0.48141231033923865</v>
      </c>
      <c r="AL24" s="6">
        <v>4.24</v>
      </c>
      <c r="AM24" s="221">
        <f>_xlfn.XLOOKUP($G24,'Modelling New'!$D:$D,'Modelling New'!$O:$O)*Plant_BD[[#This Row],[Lost PoA(kWh/m2)]]*Plant_BD[[#This Row],[DC Capacity Affected (kW)]]</f>
        <v>2025.8475466759012</v>
      </c>
      <c r="AN24" s="6"/>
      <c r="AO24" s="6"/>
      <c r="AP24" s="224"/>
    </row>
    <row r="25" spans="1:42" x14ac:dyDescent="0.3">
      <c r="A25" s="171">
        <f t="shared" si="0"/>
        <v>24</v>
      </c>
      <c r="B25" s="200">
        <v>45746</v>
      </c>
      <c r="C25" s="212">
        <f>YEAR(Plant_BD[[#This Row],[Date]])+IF(MONTH(Plant_BD[[#This Row],[Date]])&gt;=4,1,0)</f>
        <v>2025</v>
      </c>
      <c r="D25" s="212">
        <f>YEAR(Plant_BD[[#This Row],[Date]])</f>
        <v>2025</v>
      </c>
      <c r="E25" s="77" t="s">
        <v>1070</v>
      </c>
      <c r="F25" s="77" t="s">
        <v>1070</v>
      </c>
      <c r="G25" s="213">
        <f>Plant_BD[[#This Row],[Date]]-DAY(Plant_BD[[#This Row],[Date]])+1</f>
        <v>45717</v>
      </c>
      <c r="H25" s="3">
        <f>DAY(EOMONTH(Plant_BD[[#This Row],[Month Year]],0))</f>
        <v>31</v>
      </c>
      <c r="I25" s="214">
        <f>_xlfn.XLOOKUP(Plant_BD[[#This Row],[Date]],'Raw Data'!$G:$G,'Raw Data'!$I:$I)</f>
        <v>0.2638888888888889</v>
      </c>
      <c r="J25" s="214">
        <f>_xlfn.XLOOKUP(Plant_BD[[#This Row],[Date]],'Raw Data'!$G:$G,'Raw Data'!$J:$J)</f>
        <v>0.7680555555555556</v>
      </c>
      <c r="K25" s="215">
        <f>IFERROR((Plant_BD[[#This Row],[Sunset Time (POA&lt;20 W/m2)]]-Plant_BD[[#This Row],[Sunrise Time (POA&gt;20 W/m2)]])*24,"")</f>
        <v>12.1</v>
      </c>
      <c r="L25" s="215"/>
      <c r="M25" s="215"/>
      <c r="N25" s="215"/>
      <c r="O25" s="215"/>
      <c r="P25" s="215"/>
      <c r="Q25" s="215"/>
      <c r="R25" s="215"/>
      <c r="S25" s="215"/>
      <c r="T25" s="216" t="s">
        <v>168</v>
      </c>
      <c r="U25" s="16">
        <f>IFERROR(_xlfn.XLOOKUP(Plant_BD[[#This Row],[Affected Equipment]],'Basic Data'!$A:$A,'Basic Data'!$B:$B),"")</f>
        <v>2694.6</v>
      </c>
      <c r="V25" s="217">
        <f>IFERROR(_xlfn.XLOOKUP(Plant_BD[[#This Row],[Affected Equipment]],'Basic Data'!$A:$A,'Basic Data'!$C:$C),"")</f>
        <v>0.33594733758057077</v>
      </c>
      <c r="W25" s="218" t="s">
        <v>311</v>
      </c>
      <c r="X25" s="218" t="s">
        <v>1079</v>
      </c>
      <c r="Y25" s="218"/>
      <c r="Z25" s="219" t="s">
        <v>1079</v>
      </c>
      <c r="AA25" s="220">
        <v>0.6875</v>
      </c>
      <c r="AB25" s="220"/>
      <c r="AC25" s="220"/>
      <c r="AD25" s="220">
        <v>0.69027777777777777</v>
      </c>
      <c r="AE25" s="221">
        <f>IF(Plant_BD[[#This Row],[Acknowledgement Time ]]="NA","",(Plant_BD[[#This Row],[Acknowledgement Time ]]-Plant_BD[[#This Row],[Fault Time]])*24)</f>
        <v>-16.5</v>
      </c>
      <c r="AF25" s="221">
        <f>IF(Plant_BD[[#This Row],[Work Start time on Fault]]="NA","",(Plant_BD[[#This Row],[Work Start time on Fault]]-Plant_BD[[#This Row],[Fault Time]])*24)</f>
        <v>-16.5</v>
      </c>
      <c r="AG25" s="17">
        <f>(Plant_BD[[#This Row],[Work Completion time on fault]]-Plant_BD[[#This Row],[Fault Time]])*24</f>
        <v>6.666666666666643E-2</v>
      </c>
      <c r="AH25" s="17">
        <f>IFERROR((Plant_BD[[#This Row],[Work Completion time on fault]]-Plant_BD[[#This Row],[Fault Time]])*24,"")</f>
        <v>6.666666666666643E-2</v>
      </c>
      <c r="AI25" s="222" t="s">
        <v>1074</v>
      </c>
      <c r="AJ25" s="6" t="s">
        <v>1069</v>
      </c>
      <c r="AK25" s="223">
        <f>IFERROR(Plant_BD[[#This Row],[Breakdown Time]]*Plant_BD[[#This Row],[Plant Equivalent Weightage]],"")</f>
        <v>2.2396489172037973E-2</v>
      </c>
      <c r="AL25" s="6">
        <v>0.01</v>
      </c>
      <c r="AM25" s="221">
        <f>_xlfn.XLOOKUP($G25,'Modelling New'!$D:$D,'Modelling New'!$O:$O)*Plant_BD[[#This Row],[Lost PoA(kWh/m2)]]*Plant_BD[[#This Row],[DC Capacity Affected (kW)]]</f>
        <v>19.227364687143844</v>
      </c>
      <c r="AN25" s="6"/>
      <c r="AO25" s="6"/>
      <c r="AP25" s="224"/>
    </row>
    <row r="26" spans="1:42" x14ac:dyDescent="0.3">
      <c r="A26" s="171">
        <f t="shared" si="0"/>
        <v>25</v>
      </c>
      <c r="B26" s="200">
        <v>45746</v>
      </c>
      <c r="C26" s="212">
        <f>YEAR(Plant_BD[[#This Row],[Date]])+IF(MONTH(Plant_BD[[#This Row],[Date]])&gt;=4,1,0)</f>
        <v>2025</v>
      </c>
      <c r="D26" s="212">
        <f>YEAR(Plant_BD[[#This Row],[Date]])</f>
        <v>2025</v>
      </c>
      <c r="E26" s="77" t="s">
        <v>1070</v>
      </c>
      <c r="F26" s="77" t="s">
        <v>1070</v>
      </c>
      <c r="G26" s="213">
        <f>Plant_BD[[#This Row],[Date]]-DAY(Plant_BD[[#This Row],[Date]])+1</f>
        <v>45717</v>
      </c>
      <c r="H26" s="3">
        <f>DAY(EOMONTH(Plant_BD[[#This Row],[Month Year]],0))</f>
        <v>31</v>
      </c>
      <c r="I26" s="214">
        <f>_xlfn.XLOOKUP(Plant_BD[[#This Row],[Date]],'Raw Data'!$G:$G,'Raw Data'!$I:$I)</f>
        <v>0.2638888888888889</v>
      </c>
      <c r="J26" s="214">
        <f>_xlfn.XLOOKUP(Plant_BD[[#This Row],[Date]],'Raw Data'!$G:$G,'Raw Data'!$J:$J)</f>
        <v>0.7680555555555556</v>
      </c>
      <c r="K26" s="215">
        <f>IFERROR((Plant_BD[[#This Row],[Sunset Time (POA&lt;20 W/m2)]]-Plant_BD[[#This Row],[Sunrise Time (POA&gt;20 W/m2)]])*24,"")</f>
        <v>12.1</v>
      </c>
      <c r="L26" s="215"/>
      <c r="M26" s="215"/>
      <c r="N26" s="215"/>
      <c r="O26" s="215"/>
      <c r="P26" s="215"/>
      <c r="Q26" s="215"/>
      <c r="R26" s="215"/>
      <c r="S26" s="215"/>
      <c r="T26" s="216" t="s">
        <v>219</v>
      </c>
      <c r="U26" s="16">
        <f>IFERROR(_xlfn.XLOOKUP(Plant_BD[[#This Row],[Affected Equipment]],'Basic Data'!$A:$A,'Basic Data'!$B:$B),"")</f>
        <v>669.6</v>
      </c>
      <c r="V26" s="217">
        <f>IFERROR(_xlfn.XLOOKUP(Plant_BD[[#This Row],[Affected Equipment]],'Basic Data'!$A:$A,'Basic Data'!$C:$C),"")</f>
        <v>8.348190352703562E-2</v>
      </c>
      <c r="W26" s="218" t="s">
        <v>311</v>
      </c>
      <c r="X26" s="218" t="s">
        <v>1076</v>
      </c>
      <c r="Y26" s="218"/>
      <c r="Z26" s="219" t="s">
        <v>1076</v>
      </c>
      <c r="AA26" s="220">
        <v>0.69027777777777777</v>
      </c>
      <c r="AB26" s="220"/>
      <c r="AC26" s="220"/>
      <c r="AD26" s="220">
        <v>0.7680555555555556</v>
      </c>
      <c r="AE26" s="221">
        <f>IF(Plant_BD[[#This Row],[Acknowledgement Time ]]="NA","",(Plant_BD[[#This Row],[Acknowledgement Time ]]-Plant_BD[[#This Row],[Fault Time]])*24)</f>
        <v>-16.566666666666666</v>
      </c>
      <c r="AF26" s="221">
        <f>IF(Plant_BD[[#This Row],[Work Start time on Fault]]="NA","",(Plant_BD[[#This Row],[Work Start time on Fault]]-Plant_BD[[#This Row],[Fault Time]])*24)</f>
        <v>-16.566666666666666</v>
      </c>
      <c r="AG26" s="17">
        <f>(Plant_BD[[#This Row],[Work Completion time on fault]]-Plant_BD[[#This Row],[Fault Time]])*24</f>
        <v>1.866666666666668</v>
      </c>
      <c r="AH26" s="17">
        <f>IFERROR((Plant_BD[[#This Row],[Work Completion time on fault]]-Plant_BD[[#This Row],[Fault Time]])*24,"")</f>
        <v>1.866666666666668</v>
      </c>
      <c r="AI26" s="222" t="s">
        <v>1072</v>
      </c>
      <c r="AJ26" s="6" t="s">
        <v>1068</v>
      </c>
      <c r="AK26" s="223">
        <f>IFERROR(Plant_BD[[#This Row],[Breakdown Time]]*Plant_BD[[#This Row],[Plant Equivalent Weightage]],"")</f>
        <v>0.15583288658379993</v>
      </c>
      <c r="AL26" s="6">
        <v>0.21</v>
      </c>
      <c r="AM26" s="221">
        <f>_xlfn.XLOOKUP($G26,'Modelling New'!$D:$D,'Modelling New'!$O:$O)*Plant_BD[[#This Row],[Lost PoA(kWh/m2)]]*Plant_BD[[#This Row],[DC Capacity Affected (kW)]]</f>
        <v>100.3367888683819</v>
      </c>
      <c r="AN26" s="6"/>
      <c r="AO26" s="6"/>
      <c r="AP26" s="224"/>
    </row>
    <row r="27" spans="1:42" x14ac:dyDescent="0.3">
      <c r="A27" s="171">
        <f t="shared" si="0"/>
        <v>26</v>
      </c>
      <c r="B27" s="200">
        <v>45747</v>
      </c>
      <c r="C27" s="212">
        <f>YEAR(Plant_BD[[#This Row],[Date]])+IF(MONTH(Plant_BD[[#This Row],[Date]])&gt;=4,1,0)</f>
        <v>2025</v>
      </c>
      <c r="D27" s="212">
        <f>YEAR(Plant_BD[[#This Row],[Date]])</f>
        <v>2025</v>
      </c>
      <c r="E27" s="77" t="s">
        <v>1070</v>
      </c>
      <c r="F27" s="77" t="s">
        <v>1070</v>
      </c>
      <c r="G27" s="213">
        <f>Plant_BD[[#This Row],[Date]]-DAY(Plant_BD[[#This Row],[Date]])+1</f>
        <v>45717</v>
      </c>
      <c r="H27" s="3">
        <f>DAY(EOMONTH(Plant_BD[[#This Row],[Month Year]],0))</f>
        <v>31</v>
      </c>
      <c r="I27" s="214">
        <f>_xlfn.XLOOKUP(Plant_BD[[#This Row],[Date]],'Raw Data'!$G:$G,'Raw Data'!$I:$I)</f>
        <v>0.2638888888888889</v>
      </c>
      <c r="J27" s="214">
        <f>_xlfn.XLOOKUP(Plant_BD[[#This Row],[Date]],'Raw Data'!$G:$G,'Raw Data'!$J:$J)</f>
        <v>0.77013888888888893</v>
      </c>
      <c r="K27" s="215">
        <f>IFERROR((Plant_BD[[#This Row],[Sunset Time (POA&lt;20 W/m2)]]-Plant_BD[[#This Row],[Sunrise Time (POA&gt;20 W/m2)]])*24,"")</f>
        <v>12.150000000000002</v>
      </c>
      <c r="L27" s="215"/>
      <c r="M27" s="215"/>
      <c r="N27" s="215"/>
      <c r="O27" s="215"/>
      <c r="P27" s="215"/>
      <c r="Q27" s="215"/>
      <c r="R27" s="215"/>
      <c r="S27" s="215"/>
      <c r="T27" s="216" t="s">
        <v>226</v>
      </c>
      <c r="U27" s="16">
        <f>IFERROR(_xlfn.XLOOKUP(Plant_BD[[#This Row],[Affected Equipment]],'Basic Data'!$A:$A,'Basic Data'!$B:$B),"")</f>
        <v>658.8</v>
      </c>
      <c r="V27" s="217">
        <f>IFERROR(_xlfn.XLOOKUP(Plant_BD[[#This Row],[Affected Equipment]],'Basic Data'!$A:$A,'Basic Data'!$C:$C),"")</f>
        <v>8.2135421212083434E-2</v>
      </c>
      <c r="W27" s="218" t="s">
        <v>311</v>
      </c>
      <c r="X27" s="218" t="s">
        <v>1075</v>
      </c>
      <c r="Y27" s="218"/>
      <c r="Z27" s="219" t="s">
        <v>1075</v>
      </c>
      <c r="AA27" s="220">
        <v>0.2638888888888889</v>
      </c>
      <c r="AB27" s="220"/>
      <c r="AC27" s="220"/>
      <c r="AD27" s="220">
        <v>0.77013888888888893</v>
      </c>
      <c r="AE27" s="221">
        <f>IF(Plant_BD[[#This Row],[Acknowledgement Time ]]="NA","",(Plant_BD[[#This Row],[Acknowledgement Time ]]-Plant_BD[[#This Row],[Fault Time]])*24)</f>
        <v>-6.3333333333333339</v>
      </c>
      <c r="AF27" s="221">
        <f>IF(Plant_BD[[#This Row],[Work Start time on Fault]]="NA","",(Plant_BD[[#This Row],[Work Start time on Fault]]-Plant_BD[[#This Row],[Fault Time]])*24)</f>
        <v>-6.3333333333333339</v>
      </c>
      <c r="AG27" s="17">
        <f>(Plant_BD[[#This Row],[Work Completion time on fault]]-Plant_BD[[#This Row],[Fault Time]])*24</f>
        <v>12.150000000000002</v>
      </c>
      <c r="AH27" s="17">
        <f>IFERROR((Plant_BD[[#This Row],[Work Completion time on fault]]-Plant_BD[[#This Row],[Fault Time]])*24,"")</f>
        <v>12.150000000000002</v>
      </c>
      <c r="AI27" s="222" t="s">
        <v>1072</v>
      </c>
      <c r="AJ27" s="6" t="s">
        <v>1068</v>
      </c>
      <c r="AK27" s="223">
        <f>IFERROR(Plant_BD[[#This Row],[Breakdown Time]]*Plant_BD[[#This Row],[Plant Equivalent Weightage]],"")</f>
        <v>0.99794536772681386</v>
      </c>
      <c r="AL27" s="6">
        <v>5.99</v>
      </c>
      <c r="AM27" s="221">
        <f>_xlfn.XLOOKUP($G27,'Modelling New'!$D:$D,'Modelling New'!$O:$O)*Plant_BD[[#This Row],[Lost PoA(kWh/m2)]]*Plant_BD[[#This Row],[DC Capacity Affected (kW)]]</f>
        <v>2815.8263659460872</v>
      </c>
      <c r="AN27" s="6"/>
      <c r="AO27" s="6"/>
      <c r="AP27" s="224"/>
    </row>
    <row r="28" spans="1:42" x14ac:dyDescent="0.3">
      <c r="A28" s="171">
        <f t="shared" si="0"/>
        <v>27</v>
      </c>
      <c r="B28" s="200">
        <v>45747</v>
      </c>
      <c r="C28" s="212">
        <f>YEAR(Plant_BD[[#This Row],[Date]])+IF(MONTH(Plant_BD[[#This Row],[Date]])&gt;=4,1,0)</f>
        <v>2025</v>
      </c>
      <c r="D28" s="212">
        <f>YEAR(Plant_BD[[#This Row],[Date]])</f>
        <v>2025</v>
      </c>
      <c r="E28" s="77" t="s">
        <v>1070</v>
      </c>
      <c r="F28" s="77" t="s">
        <v>1070</v>
      </c>
      <c r="G28" s="213">
        <f>Plant_BD[[#This Row],[Date]]-DAY(Plant_BD[[#This Row],[Date]])+1</f>
        <v>45717</v>
      </c>
      <c r="H28" s="3">
        <f>DAY(EOMONTH(Plant_BD[[#This Row],[Month Year]],0))</f>
        <v>31</v>
      </c>
      <c r="I28" s="214">
        <f>_xlfn.XLOOKUP(Plant_BD[[#This Row],[Date]],'Raw Data'!$G:$G,'Raw Data'!$I:$I)</f>
        <v>0.2638888888888889</v>
      </c>
      <c r="J28" s="214">
        <f>_xlfn.XLOOKUP(Plant_BD[[#This Row],[Date]],'Raw Data'!$G:$G,'Raw Data'!$J:$J)</f>
        <v>0.77013888888888893</v>
      </c>
      <c r="K28" s="215">
        <f>IFERROR((Plant_BD[[#This Row],[Sunset Time (POA&lt;20 W/m2)]]-Plant_BD[[#This Row],[Sunrise Time (POA&gt;20 W/m2)]])*24,"")</f>
        <v>12.150000000000002</v>
      </c>
      <c r="L28" s="215"/>
      <c r="M28" s="215"/>
      <c r="N28" s="215"/>
      <c r="O28" s="215"/>
      <c r="P28" s="215"/>
      <c r="Q28" s="215"/>
      <c r="R28" s="215"/>
      <c r="S28" s="215"/>
      <c r="T28" s="216" t="s">
        <v>219</v>
      </c>
      <c r="U28" s="16">
        <f>IFERROR(_xlfn.XLOOKUP(Plant_BD[[#This Row],[Affected Equipment]],'Basic Data'!$A:$A,'Basic Data'!$B:$B),"")</f>
        <v>669.6</v>
      </c>
      <c r="V28" s="217">
        <f>IFERROR(_xlfn.XLOOKUP(Plant_BD[[#This Row],[Affected Equipment]],'Basic Data'!$A:$A,'Basic Data'!$C:$C),"")</f>
        <v>8.348190352703562E-2</v>
      </c>
      <c r="W28" s="218" t="s">
        <v>311</v>
      </c>
      <c r="X28" s="218" t="s">
        <v>1076</v>
      </c>
      <c r="Y28" s="218"/>
      <c r="Z28" s="219" t="s">
        <v>1076</v>
      </c>
      <c r="AA28" s="220">
        <v>0.2638888888888889</v>
      </c>
      <c r="AB28" s="220"/>
      <c r="AC28" s="220"/>
      <c r="AD28" s="220">
        <v>0.43541666666666667</v>
      </c>
      <c r="AE28" s="221">
        <f>IF(Plant_BD[[#This Row],[Acknowledgement Time ]]="NA","",(Plant_BD[[#This Row],[Acknowledgement Time ]]-Plant_BD[[#This Row],[Fault Time]])*24)</f>
        <v>-6.3333333333333339</v>
      </c>
      <c r="AF28" s="221">
        <f>IF(Plant_BD[[#This Row],[Work Start time on Fault]]="NA","",(Plant_BD[[#This Row],[Work Start time on Fault]]-Plant_BD[[#This Row],[Fault Time]])*24)</f>
        <v>-6.3333333333333339</v>
      </c>
      <c r="AG28" s="17">
        <f>(Plant_BD[[#This Row],[Work Completion time on fault]]-Plant_BD[[#This Row],[Fault Time]])*24</f>
        <v>4.1166666666666671</v>
      </c>
      <c r="AH28" s="17">
        <f>IFERROR((Plant_BD[[#This Row],[Work Completion time on fault]]-Plant_BD[[#This Row],[Fault Time]])*24,"")</f>
        <v>4.1166666666666671</v>
      </c>
      <c r="AI28" s="222" t="s">
        <v>1072</v>
      </c>
      <c r="AJ28" s="6" t="s">
        <v>1068</v>
      </c>
      <c r="AK28" s="223">
        <f>IFERROR(Plant_BD[[#This Row],[Breakdown Time]]*Plant_BD[[#This Row],[Plant Equivalent Weightage]],"")</f>
        <v>0.34366716951963</v>
      </c>
      <c r="AL28" s="6">
        <v>1.28</v>
      </c>
      <c r="AM28" s="221">
        <f>_xlfn.XLOOKUP($G28,'Modelling New'!$D:$D,'Modelling New'!$O:$O)*Plant_BD[[#This Row],[Lost PoA(kWh/m2)]]*Plant_BD[[#This Row],[DC Capacity Affected (kW)]]</f>
        <v>611.57661786442304</v>
      </c>
      <c r="AN28" s="6"/>
      <c r="AO28" s="6"/>
      <c r="AP28" s="224"/>
    </row>
    <row r="29" spans="1:42" x14ac:dyDescent="0.3">
      <c r="A29" s="171">
        <f t="shared" si="0"/>
        <v>28</v>
      </c>
      <c r="B29" s="200">
        <v>45747</v>
      </c>
      <c r="C29" s="212">
        <f>YEAR(Plant_BD[[#This Row],[Date]])+IF(MONTH(Plant_BD[[#This Row],[Date]])&gt;=4,1,0)</f>
        <v>2025</v>
      </c>
      <c r="D29" s="212">
        <f>YEAR(Plant_BD[[#This Row],[Date]])</f>
        <v>2025</v>
      </c>
      <c r="E29" s="77" t="s">
        <v>1070</v>
      </c>
      <c r="F29" s="77" t="s">
        <v>1070</v>
      </c>
      <c r="G29" s="213">
        <f>Plant_BD[[#This Row],[Date]]-DAY(Plant_BD[[#This Row],[Date]])+1</f>
        <v>45717</v>
      </c>
      <c r="H29" s="3">
        <f>DAY(EOMONTH(Plant_BD[[#This Row],[Month Year]],0))</f>
        <v>31</v>
      </c>
      <c r="I29" s="214">
        <f>_xlfn.XLOOKUP(Plant_BD[[#This Row],[Date]],'Raw Data'!$G:$G,'Raw Data'!$I:$I)</f>
        <v>0.2638888888888889</v>
      </c>
      <c r="J29" s="214">
        <f>_xlfn.XLOOKUP(Plant_BD[[#This Row],[Date]],'Raw Data'!$G:$G,'Raw Data'!$J:$J)</f>
        <v>0.77013888888888893</v>
      </c>
      <c r="K29" s="215">
        <f>IFERROR((Plant_BD[[#This Row],[Sunset Time (POA&lt;20 W/m2)]]-Plant_BD[[#This Row],[Sunrise Time (POA&gt;20 W/m2)]])*24,"")</f>
        <v>12.150000000000002</v>
      </c>
      <c r="L29" s="215"/>
      <c r="M29" s="215"/>
      <c r="N29" s="215"/>
      <c r="O29" s="215"/>
      <c r="P29" s="215"/>
      <c r="Q29" s="215"/>
      <c r="R29" s="215"/>
      <c r="S29" s="215"/>
      <c r="T29" s="216" t="s">
        <v>168</v>
      </c>
      <c r="U29" s="16">
        <f>IFERROR(_xlfn.XLOOKUP(Plant_BD[[#This Row],[Affected Equipment]],'Basic Data'!$A:$A,'Basic Data'!$B:$B),"")</f>
        <v>2694.6</v>
      </c>
      <c r="V29" s="217">
        <f>IFERROR(_xlfn.XLOOKUP(Plant_BD[[#This Row],[Affected Equipment]],'Basic Data'!$A:$A,'Basic Data'!$C:$C),"")</f>
        <v>0.33594733758057077</v>
      </c>
      <c r="W29" s="218" t="s">
        <v>311</v>
      </c>
      <c r="X29" s="218" t="s">
        <v>1073</v>
      </c>
      <c r="Y29" s="218"/>
      <c r="Z29" s="219" t="s">
        <v>1077</v>
      </c>
      <c r="AA29" s="220">
        <v>0.43541666666666667</v>
      </c>
      <c r="AB29" s="220"/>
      <c r="AC29" s="220"/>
      <c r="AD29" s="220">
        <v>0.43888888888888888</v>
      </c>
      <c r="AE29" s="221">
        <f>IF(Plant_BD[[#This Row],[Acknowledgement Time ]]="NA","",(Plant_BD[[#This Row],[Acknowledgement Time ]]-Plant_BD[[#This Row],[Fault Time]])*24)</f>
        <v>-10.45</v>
      </c>
      <c r="AF29" s="221">
        <f>IF(Plant_BD[[#This Row],[Work Start time on Fault]]="NA","",(Plant_BD[[#This Row],[Work Start time on Fault]]-Plant_BD[[#This Row],[Fault Time]])*24)</f>
        <v>-10.45</v>
      </c>
      <c r="AG29" s="17">
        <f>(Plant_BD[[#This Row],[Work Completion time on fault]]-Plant_BD[[#This Row],[Fault Time]])*24</f>
        <v>8.3333333333333037E-2</v>
      </c>
      <c r="AH29" s="17">
        <f>IFERROR((Plant_BD[[#This Row],[Work Completion time on fault]]-Plant_BD[[#This Row],[Fault Time]])*24,"")</f>
        <v>8.3333333333333037E-2</v>
      </c>
      <c r="AI29" s="222" t="s">
        <v>1074</v>
      </c>
      <c r="AJ29" s="6" t="s">
        <v>1069</v>
      </c>
      <c r="AK29" s="223">
        <f>IFERROR(Plant_BD[[#This Row],[Breakdown Time]]*Plant_BD[[#This Row],[Plant Equivalent Weightage]],"")</f>
        <v>2.7995611465047466E-2</v>
      </c>
      <c r="AL29" s="6">
        <v>0.06</v>
      </c>
      <c r="AM29" s="221">
        <f>_xlfn.XLOOKUP($G29,'Modelling New'!$D:$D,'Modelling New'!$O:$O)*Plant_BD[[#This Row],[Lost PoA(kWh/m2)]]*Plant_BD[[#This Row],[DC Capacity Affected (kW)]]</f>
        <v>115.36418812286304</v>
      </c>
      <c r="AN29" s="6"/>
      <c r="AO29" s="6"/>
      <c r="AP29" s="224"/>
    </row>
    <row r="30" spans="1:42" x14ac:dyDescent="0.3">
      <c r="A30" s="171">
        <f t="shared" si="0"/>
        <v>29</v>
      </c>
      <c r="B30" s="200">
        <v>45747</v>
      </c>
      <c r="C30" s="212">
        <f>YEAR(Plant_BD[[#This Row],[Date]])+IF(MONTH(Plant_BD[[#This Row],[Date]])&gt;=4,1,0)</f>
        <v>2025</v>
      </c>
      <c r="D30" s="212">
        <f>YEAR(Plant_BD[[#This Row],[Date]])</f>
        <v>2025</v>
      </c>
      <c r="E30" s="77" t="s">
        <v>1070</v>
      </c>
      <c r="F30" s="77" t="s">
        <v>1070</v>
      </c>
      <c r="G30" s="213">
        <f>Plant_BD[[#This Row],[Date]]-DAY(Plant_BD[[#This Row],[Date]])+1</f>
        <v>45717</v>
      </c>
      <c r="H30" s="3">
        <f>DAY(EOMONTH(Plant_BD[[#This Row],[Month Year]],0))</f>
        <v>31</v>
      </c>
      <c r="I30" s="214">
        <f>_xlfn.XLOOKUP(Plant_BD[[#This Row],[Date]],'Raw Data'!$G:$G,'Raw Data'!$I:$I)</f>
        <v>0.2638888888888889</v>
      </c>
      <c r="J30" s="214">
        <f>_xlfn.XLOOKUP(Plant_BD[[#This Row],[Date]],'Raw Data'!$G:$G,'Raw Data'!$J:$J)</f>
        <v>0.77013888888888893</v>
      </c>
      <c r="K30" s="215">
        <f>IFERROR((Plant_BD[[#This Row],[Sunset Time (POA&lt;20 W/m2)]]-Plant_BD[[#This Row],[Sunrise Time (POA&gt;20 W/m2)]])*24,"")</f>
        <v>12.150000000000002</v>
      </c>
      <c r="L30" s="215"/>
      <c r="M30" s="215"/>
      <c r="N30" s="215"/>
      <c r="O30" s="215"/>
      <c r="P30" s="215"/>
      <c r="Q30" s="215"/>
      <c r="R30" s="215"/>
      <c r="S30" s="215"/>
      <c r="T30" s="216" t="s">
        <v>219</v>
      </c>
      <c r="U30" s="16">
        <f>IFERROR(_xlfn.XLOOKUP(Plant_BD[[#This Row],[Affected Equipment]],'Basic Data'!$A:$A,'Basic Data'!$B:$B),"")</f>
        <v>669.6</v>
      </c>
      <c r="V30" s="217">
        <f>IFERROR(_xlfn.XLOOKUP(Plant_BD[[#This Row],[Affected Equipment]],'Basic Data'!$A:$A,'Basic Data'!$C:$C),"")</f>
        <v>8.348190352703562E-2</v>
      </c>
      <c r="W30" s="218" t="s">
        <v>311</v>
      </c>
      <c r="X30" s="218" t="s">
        <v>1076</v>
      </c>
      <c r="Y30" s="218"/>
      <c r="Z30" s="219" t="s">
        <v>1076</v>
      </c>
      <c r="AA30" s="220">
        <v>0.43888888888888888</v>
      </c>
      <c r="AB30" s="220"/>
      <c r="AC30" s="220"/>
      <c r="AD30" s="220">
        <v>0.4465277777777778</v>
      </c>
      <c r="AE30" s="221">
        <f>IF(Plant_BD[[#This Row],[Acknowledgement Time ]]="NA","",(Plant_BD[[#This Row],[Acknowledgement Time ]]-Plant_BD[[#This Row],[Fault Time]])*24)</f>
        <v>-10.533333333333333</v>
      </c>
      <c r="AF30" s="221">
        <f>IF(Plant_BD[[#This Row],[Work Start time on Fault]]="NA","",(Plant_BD[[#This Row],[Work Start time on Fault]]-Plant_BD[[#This Row],[Fault Time]])*24)</f>
        <v>-10.533333333333333</v>
      </c>
      <c r="AG30" s="17">
        <f>(Plant_BD[[#This Row],[Work Completion time on fault]]-Plant_BD[[#This Row],[Fault Time]])*24</f>
        <v>0.18333333333333401</v>
      </c>
      <c r="AH30" s="17">
        <f>IFERROR((Plant_BD[[#This Row],[Work Completion time on fault]]-Plant_BD[[#This Row],[Fault Time]])*24,"")</f>
        <v>0.18333333333333401</v>
      </c>
      <c r="AI30" s="222" t="s">
        <v>1072</v>
      </c>
      <c r="AJ30" s="6" t="s">
        <v>1068</v>
      </c>
      <c r="AK30" s="223">
        <f>IFERROR(Plant_BD[[#This Row],[Breakdown Time]]*Plant_BD[[#This Row],[Plant Equivalent Weightage]],"")</f>
        <v>1.5305015646623253E-2</v>
      </c>
      <c r="AL30" s="6">
        <v>0.14000000000000001</v>
      </c>
      <c r="AM30" s="221">
        <f>_xlfn.XLOOKUP($G30,'Modelling New'!$D:$D,'Modelling New'!$O:$O)*Plant_BD[[#This Row],[Lost PoA(kWh/m2)]]*Plant_BD[[#This Row],[DC Capacity Affected (kW)]]</f>
        <v>66.891192578921263</v>
      </c>
      <c r="AN30" s="6"/>
      <c r="AO30" s="6"/>
      <c r="AP30" s="224"/>
    </row>
    <row r="31" spans="1:42" x14ac:dyDescent="0.3">
      <c r="A31" s="171">
        <f t="shared" si="0"/>
        <v>30</v>
      </c>
      <c r="B31" s="200">
        <v>45747</v>
      </c>
      <c r="C31" s="212">
        <f>YEAR(Plant_BD[[#This Row],[Date]])+IF(MONTH(Plant_BD[[#This Row],[Date]])&gt;=4,1,0)</f>
        <v>2025</v>
      </c>
      <c r="D31" s="212">
        <f>YEAR(Plant_BD[[#This Row],[Date]])</f>
        <v>2025</v>
      </c>
      <c r="E31" s="77" t="s">
        <v>1070</v>
      </c>
      <c r="F31" s="77" t="s">
        <v>1070</v>
      </c>
      <c r="G31" s="213">
        <f>Plant_BD[[#This Row],[Date]]-DAY(Plant_BD[[#This Row],[Date]])+1</f>
        <v>45717</v>
      </c>
      <c r="H31" s="3">
        <f>DAY(EOMONTH(Plant_BD[[#This Row],[Month Year]],0))</f>
        <v>31</v>
      </c>
      <c r="I31" s="214">
        <f>_xlfn.XLOOKUP(Plant_BD[[#This Row],[Date]],'Raw Data'!$G:$G,'Raw Data'!$I:$I)</f>
        <v>0.2638888888888889</v>
      </c>
      <c r="J31" s="214">
        <f>_xlfn.XLOOKUP(Plant_BD[[#This Row],[Date]],'Raw Data'!$G:$G,'Raw Data'!$J:$J)</f>
        <v>0.77013888888888893</v>
      </c>
      <c r="K31" s="215">
        <f>IFERROR((Plant_BD[[#This Row],[Sunset Time (POA&lt;20 W/m2)]]-Plant_BD[[#This Row],[Sunrise Time (POA&gt;20 W/m2)]])*24,"")</f>
        <v>12.150000000000002</v>
      </c>
      <c r="L31" s="215"/>
      <c r="M31" s="215"/>
      <c r="N31" s="215"/>
      <c r="O31" s="215"/>
      <c r="P31" s="215"/>
      <c r="Q31" s="215"/>
      <c r="R31" s="215"/>
      <c r="S31" s="215"/>
      <c r="T31" s="216" t="s">
        <v>220</v>
      </c>
      <c r="U31" s="16">
        <f>IFERROR(_xlfn.XLOOKUP(Plant_BD[[#This Row],[Affected Equipment]],'Basic Data'!$A:$A,'Basic Data'!$B:$B),"")</f>
        <v>669.6</v>
      </c>
      <c r="V31" s="217">
        <f>IFERROR(_xlfn.XLOOKUP(Plant_BD[[#This Row],[Affected Equipment]],'Basic Data'!$A:$A,'Basic Data'!$C:$C),"")</f>
        <v>8.348190352703562E-2</v>
      </c>
      <c r="W31" s="218" t="s">
        <v>311</v>
      </c>
      <c r="X31" s="218" t="s">
        <v>1078</v>
      </c>
      <c r="Y31" s="218"/>
      <c r="Z31" s="219" t="s">
        <v>1078</v>
      </c>
      <c r="AA31" s="220">
        <v>0.43888888888888888</v>
      </c>
      <c r="AB31" s="220"/>
      <c r="AC31" s="220"/>
      <c r="AD31" s="220">
        <v>0.4465277777777778</v>
      </c>
      <c r="AE31" s="221">
        <f>IF(Plant_BD[[#This Row],[Acknowledgement Time ]]="NA","",(Plant_BD[[#This Row],[Acknowledgement Time ]]-Plant_BD[[#This Row],[Fault Time]])*24)</f>
        <v>-10.533333333333333</v>
      </c>
      <c r="AF31" s="221">
        <f>IF(Plant_BD[[#This Row],[Work Start time on Fault]]="NA","",(Plant_BD[[#This Row],[Work Start time on Fault]]-Plant_BD[[#This Row],[Fault Time]])*24)</f>
        <v>-10.533333333333333</v>
      </c>
      <c r="AG31" s="17">
        <f>(Plant_BD[[#This Row],[Work Completion time on fault]]-Plant_BD[[#This Row],[Fault Time]])*24</f>
        <v>0.18333333333333401</v>
      </c>
      <c r="AH31" s="17">
        <f>IFERROR((Plant_BD[[#This Row],[Work Completion time on fault]]-Plant_BD[[#This Row],[Fault Time]])*24,"")</f>
        <v>0.18333333333333401</v>
      </c>
      <c r="AI31" s="222" t="s">
        <v>1078</v>
      </c>
      <c r="AJ31" s="6" t="s">
        <v>1068</v>
      </c>
      <c r="AK31" s="223">
        <f>IFERROR(Plant_BD[[#This Row],[Breakdown Time]]*Plant_BD[[#This Row],[Plant Equivalent Weightage]],"")</f>
        <v>1.5305015646623253E-2</v>
      </c>
      <c r="AL31" s="6">
        <v>0.14000000000000001</v>
      </c>
      <c r="AM31" s="221">
        <f>_xlfn.XLOOKUP($G31,'Modelling New'!$D:$D,'Modelling New'!$O:$O)*Plant_BD[[#This Row],[Lost PoA(kWh/m2)]]*Plant_BD[[#This Row],[DC Capacity Affected (kW)]]</f>
        <v>66.891192578921263</v>
      </c>
      <c r="AN31" s="6"/>
      <c r="AO31" s="6"/>
      <c r="AP31" s="224"/>
    </row>
    <row r="32" spans="1:42" x14ac:dyDescent="0.3">
      <c r="A32" s="171">
        <f t="shared" si="0"/>
        <v>31</v>
      </c>
      <c r="B32" s="200">
        <v>45747</v>
      </c>
      <c r="C32" s="212">
        <f>YEAR(Plant_BD[[#This Row],[Date]])+IF(MONTH(Plant_BD[[#This Row],[Date]])&gt;=4,1,0)</f>
        <v>2025</v>
      </c>
      <c r="D32" s="212">
        <f>YEAR(Plant_BD[[#This Row],[Date]])</f>
        <v>2025</v>
      </c>
      <c r="E32" s="77" t="s">
        <v>1070</v>
      </c>
      <c r="F32" s="77" t="s">
        <v>1070</v>
      </c>
      <c r="G32" s="213">
        <f>Plant_BD[[#This Row],[Date]]-DAY(Plant_BD[[#This Row],[Date]])+1</f>
        <v>45717</v>
      </c>
      <c r="H32" s="3">
        <f>DAY(EOMONTH(Plant_BD[[#This Row],[Month Year]],0))</f>
        <v>31</v>
      </c>
      <c r="I32" s="214">
        <f>_xlfn.XLOOKUP(Plant_BD[[#This Row],[Date]],'Raw Data'!$G:$G,'Raw Data'!$I:$I)</f>
        <v>0.2638888888888889</v>
      </c>
      <c r="J32" s="214">
        <f>_xlfn.XLOOKUP(Plant_BD[[#This Row],[Date]],'Raw Data'!$G:$G,'Raw Data'!$J:$J)</f>
        <v>0.77013888888888893</v>
      </c>
      <c r="K32" s="215">
        <f>IFERROR((Plant_BD[[#This Row],[Sunset Time (POA&lt;20 W/m2)]]-Plant_BD[[#This Row],[Sunrise Time (POA&gt;20 W/m2)]])*24,"")</f>
        <v>12.150000000000002</v>
      </c>
      <c r="L32" s="215"/>
      <c r="M32" s="215"/>
      <c r="N32" s="215"/>
      <c r="O32" s="215"/>
      <c r="P32" s="215"/>
      <c r="Q32" s="215"/>
      <c r="R32" s="215"/>
      <c r="S32" s="215"/>
      <c r="T32" s="216" t="s">
        <v>168</v>
      </c>
      <c r="U32" s="16">
        <f>IFERROR(_xlfn.XLOOKUP(Plant_BD[[#This Row],[Affected Equipment]],'Basic Data'!$A:$A,'Basic Data'!$B:$B),"")</f>
        <v>2694.6</v>
      </c>
      <c r="V32" s="217">
        <f>IFERROR(_xlfn.XLOOKUP(Plant_BD[[#This Row],[Affected Equipment]],'Basic Data'!$A:$A,'Basic Data'!$C:$C),"")</f>
        <v>0.33594733758057077</v>
      </c>
      <c r="W32" s="218" t="s">
        <v>311</v>
      </c>
      <c r="X32" s="218" t="s">
        <v>1073</v>
      </c>
      <c r="Y32" s="218"/>
      <c r="Z32" s="219" t="s">
        <v>1077</v>
      </c>
      <c r="AA32" s="220">
        <v>0.4465277777777778</v>
      </c>
      <c r="AB32" s="220"/>
      <c r="AC32" s="220"/>
      <c r="AD32" s="220">
        <v>0.45</v>
      </c>
      <c r="AE32" s="221">
        <f>IF(Plant_BD[[#This Row],[Acknowledgement Time ]]="NA","",(Plant_BD[[#This Row],[Acknowledgement Time ]]-Plant_BD[[#This Row],[Fault Time]])*24)</f>
        <v>-10.716666666666667</v>
      </c>
      <c r="AF32" s="221">
        <f>IF(Plant_BD[[#This Row],[Work Start time on Fault]]="NA","",(Plant_BD[[#This Row],[Work Start time on Fault]]-Plant_BD[[#This Row],[Fault Time]])*24)</f>
        <v>-10.716666666666667</v>
      </c>
      <c r="AG32" s="17">
        <f>(Plant_BD[[#This Row],[Work Completion time on fault]]-Plant_BD[[#This Row],[Fault Time]])*24</f>
        <v>8.3333333333333037E-2</v>
      </c>
      <c r="AH32" s="17">
        <f>IFERROR((Plant_BD[[#This Row],[Work Completion time on fault]]-Plant_BD[[#This Row],[Fault Time]])*24,"")</f>
        <v>8.3333333333333037E-2</v>
      </c>
      <c r="AI32" s="222" t="s">
        <v>1074</v>
      </c>
      <c r="AJ32" s="6" t="s">
        <v>1069</v>
      </c>
      <c r="AK32" s="223">
        <f>IFERROR(Plant_BD[[#This Row],[Breakdown Time]]*Plant_BD[[#This Row],[Plant Equivalent Weightage]],"")</f>
        <v>2.7995611465047466E-2</v>
      </c>
      <c r="AL32" s="6">
        <v>7.0000000000000007E-2</v>
      </c>
      <c r="AM32" s="221">
        <f>_xlfn.XLOOKUP($G32,'Modelling New'!$D:$D,'Modelling New'!$O:$O)*Plant_BD[[#This Row],[Lost PoA(kWh/m2)]]*Plant_BD[[#This Row],[DC Capacity Affected (kW)]]</f>
        <v>134.5915528100069</v>
      </c>
      <c r="AN32" s="6"/>
      <c r="AO32" s="6"/>
      <c r="AP32" s="224"/>
    </row>
    <row r="33" spans="1:42" x14ac:dyDescent="0.3">
      <c r="A33" s="171">
        <f t="shared" si="0"/>
        <v>32</v>
      </c>
      <c r="B33" s="200">
        <v>45747</v>
      </c>
      <c r="C33" s="212">
        <f>YEAR(Plant_BD[[#This Row],[Date]])+IF(MONTH(Plant_BD[[#This Row],[Date]])&gt;=4,1,0)</f>
        <v>2025</v>
      </c>
      <c r="D33" s="212">
        <f>YEAR(Plant_BD[[#This Row],[Date]])</f>
        <v>2025</v>
      </c>
      <c r="E33" s="77" t="s">
        <v>1070</v>
      </c>
      <c r="F33" s="77" t="s">
        <v>1070</v>
      </c>
      <c r="G33" s="213">
        <f>Plant_BD[[#This Row],[Date]]-DAY(Plant_BD[[#This Row],[Date]])+1</f>
        <v>45717</v>
      </c>
      <c r="H33" s="3">
        <f>DAY(EOMONTH(Plant_BD[[#This Row],[Month Year]],0))</f>
        <v>31</v>
      </c>
      <c r="I33" s="214">
        <f>_xlfn.XLOOKUP(Plant_BD[[#This Row],[Date]],'Raw Data'!$G:$G,'Raw Data'!$I:$I)</f>
        <v>0.2638888888888889</v>
      </c>
      <c r="J33" s="214">
        <f>_xlfn.XLOOKUP(Plant_BD[[#This Row],[Date]],'Raw Data'!$G:$G,'Raw Data'!$J:$J)</f>
        <v>0.77013888888888893</v>
      </c>
      <c r="K33" s="215">
        <f>IFERROR((Plant_BD[[#This Row],[Sunset Time (POA&lt;20 W/m2)]]-Plant_BD[[#This Row],[Sunrise Time (POA&gt;20 W/m2)]])*24,"")</f>
        <v>12.150000000000002</v>
      </c>
      <c r="L33" s="215"/>
      <c r="M33" s="215"/>
      <c r="N33" s="215"/>
      <c r="O33" s="215"/>
      <c r="P33" s="215"/>
      <c r="Q33" s="215"/>
      <c r="R33" s="215"/>
      <c r="S33" s="215"/>
      <c r="T33" s="216" t="s">
        <v>219</v>
      </c>
      <c r="U33" s="16">
        <f>IFERROR(_xlfn.XLOOKUP(Plant_BD[[#This Row],[Affected Equipment]],'Basic Data'!$A:$A,'Basic Data'!$B:$B),"")</f>
        <v>669.6</v>
      </c>
      <c r="V33" s="217">
        <f>IFERROR(_xlfn.XLOOKUP(Plant_BD[[#This Row],[Affected Equipment]],'Basic Data'!$A:$A,'Basic Data'!$C:$C),"")</f>
        <v>8.348190352703562E-2</v>
      </c>
      <c r="W33" s="218" t="s">
        <v>311</v>
      </c>
      <c r="X33" s="218" t="s">
        <v>1076</v>
      </c>
      <c r="Y33" s="218"/>
      <c r="Z33" s="219" t="s">
        <v>1076</v>
      </c>
      <c r="AA33" s="220">
        <v>0.45</v>
      </c>
      <c r="AB33" s="220"/>
      <c r="AC33" s="220"/>
      <c r="AD33" s="220">
        <v>0.68402777777777779</v>
      </c>
      <c r="AE33" s="221">
        <f>IF(Plant_BD[[#This Row],[Acknowledgement Time ]]="NA","",(Plant_BD[[#This Row],[Acknowledgement Time ]]-Plant_BD[[#This Row],[Fault Time]])*24)</f>
        <v>-10.8</v>
      </c>
      <c r="AF33" s="221">
        <f>IF(Plant_BD[[#This Row],[Work Start time on Fault]]="NA","",(Plant_BD[[#This Row],[Work Start time on Fault]]-Plant_BD[[#This Row],[Fault Time]])*24)</f>
        <v>-10.8</v>
      </c>
      <c r="AG33" s="17">
        <f>(Plant_BD[[#This Row],[Work Completion time on fault]]-Plant_BD[[#This Row],[Fault Time]])*24</f>
        <v>5.6166666666666671</v>
      </c>
      <c r="AH33" s="17">
        <f>IFERROR((Plant_BD[[#This Row],[Work Completion time on fault]]-Plant_BD[[#This Row],[Fault Time]])*24,"")</f>
        <v>5.6166666666666671</v>
      </c>
      <c r="AI33" s="222" t="s">
        <v>1072</v>
      </c>
      <c r="AJ33" s="6" t="s">
        <v>1068</v>
      </c>
      <c r="AK33" s="223">
        <f>IFERROR(Plant_BD[[#This Row],[Breakdown Time]]*Plant_BD[[#This Row],[Plant Equivalent Weightage]],"")</f>
        <v>0.46889002481018344</v>
      </c>
      <c r="AL33" s="6">
        <v>4.16</v>
      </c>
      <c r="AM33" s="221">
        <f>_xlfn.XLOOKUP($G33,'Modelling New'!$D:$D,'Modelling New'!$O:$O)*Plant_BD[[#This Row],[Lost PoA(kWh/m2)]]*Plant_BD[[#This Row],[DC Capacity Affected (kW)]]</f>
        <v>1987.6240080593748</v>
      </c>
      <c r="AN33" s="6"/>
      <c r="AO33" s="6"/>
      <c r="AP33" s="224"/>
    </row>
    <row r="34" spans="1:42" x14ac:dyDescent="0.3">
      <c r="A34" s="171">
        <f t="shared" si="0"/>
        <v>33</v>
      </c>
      <c r="B34" s="200">
        <v>45747</v>
      </c>
      <c r="C34" s="212">
        <f>YEAR(Plant_BD[[#This Row],[Date]])+IF(MONTH(Plant_BD[[#This Row],[Date]])&gt;=4,1,0)</f>
        <v>2025</v>
      </c>
      <c r="D34" s="212">
        <f>YEAR(Plant_BD[[#This Row],[Date]])</f>
        <v>2025</v>
      </c>
      <c r="E34" s="77" t="s">
        <v>1070</v>
      </c>
      <c r="F34" s="77" t="s">
        <v>1070</v>
      </c>
      <c r="G34" s="213">
        <f>Plant_BD[[#This Row],[Date]]-DAY(Plant_BD[[#This Row],[Date]])+1</f>
        <v>45717</v>
      </c>
      <c r="H34" s="3">
        <f>DAY(EOMONTH(Plant_BD[[#This Row],[Month Year]],0))</f>
        <v>31</v>
      </c>
      <c r="I34" s="214">
        <f>_xlfn.XLOOKUP(Plant_BD[[#This Row],[Date]],'Raw Data'!$G:$G,'Raw Data'!$I:$I)</f>
        <v>0.2638888888888889</v>
      </c>
      <c r="J34" s="214">
        <f>_xlfn.XLOOKUP(Plant_BD[[#This Row],[Date]],'Raw Data'!$G:$G,'Raw Data'!$J:$J)</f>
        <v>0.77013888888888893</v>
      </c>
      <c r="K34" s="215">
        <f>IFERROR((Plant_BD[[#This Row],[Sunset Time (POA&lt;20 W/m2)]]-Plant_BD[[#This Row],[Sunrise Time (POA&gt;20 W/m2)]])*24,"")</f>
        <v>12.150000000000002</v>
      </c>
      <c r="L34" s="215"/>
      <c r="M34" s="215"/>
      <c r="N34" s="215"/>
      <c r="O34" s="215"/>
      <c r="P34" s="215"/>
      <c r="Q34" s="215"/>
      <c r="R34" s="215"/>
      <c r="S34" s="215"/>
      <c r="T34" s="216" t="s">
        <v>220</v>
      </c>
      <c r="U34" s="16">
        <f>IFERROR(_xlfn.XLOOKUP(Plant_BD[[#This Row],[Affected Equipment]],'Basic Data'!$A:$A,'Basic Data'!$B:$B),"")</f>
        <v>669.6</v>
      </c>
      <c r="V34" s="217">
        <f>IFERROR(_xlfn.XLOOKUP(Plant_BD[[#This Row],[Affected Equipment]],'Basic Data'!$A:$A,'Basic Data'!$C:$C),"")</f>
        <v>8.348190352703562E-2</v>
      </c>
      <c r="W34" s="218" t="s">
        <v>311</v>
      </c>
      <c r="X34" s="218" t="s">
        <v>1078</v>
      </c>
      <c r="Y34" s="218"/>
      <c r="Z34" s="219" t="s">
        <v>1078</v>
      </c>
      <c r="AA34" s="220">
        <v>0.45</v>
      </c>
      <c r="AB34" s="220"/>
      <c r="AC34" s="220"/>
      <c r="AD34" s="220">
        <v>0.68402777777777779</v>
      </c>
      <c r="AE34" s="221">
        <f>IF(Plant_BD[[#This Row],[Acknowledgement Time ]]="NA","",(Plant_BD[[#This Row],[Acknowledgement Time ]]-Plant_BD[[#This Row],[Fault Time]])*24)</f>
        <v>-10.8</v>
      </c>
      <c r="AF34" s="221">
        <f>IF(Plant_BD[[#This Row],[Work Start time on Fault]]="NA","",(Plant_BD[[#This Row],[Work Start time on Fault]]-Plant_BD[[#This Row],[Fault Time]])*24)</f>
        <v>-10.8</v>
      </c>
      <c r="AG34" s="17">
        <f>(Plant_BD[[#This Row],[Work Completion time on fault]]-Plant_BD[[#This Row],[Fault Time]])*24</f>
        <v>5.6166666666666671</v>
      </c>
      <c r="AH34" s="17">
        <f>IFERROR((Plant_BD[[#This Row],[Work Completion time on fault]]-Plant_BD[[#This Row],[Fault Time]])*24,"")</f>
        <v>5.6166666666666671</v>
      </c>
      <c r="AI34" s="222" t="s">
        <v>1078</v>
      </c>
      <c r="AJ34" s="6" t="s">
        <v>1068</v>
      </c>
      <c r="AK34" s="223">
        <f>IFERROR(Plant_BD[[#This Row],[Breakdown Time]]*Plant_BD[[#This Row],[Plant Equivalent Weightage]],"")</f>
        <v>0.46889002481018344</v>
      </c>
      <c r="AL34" s="6">
        <v>4.16</v>
      </c>
      <c r="AM34" s="221">
        <f>_xlfn.XLOOKUP($G34,'Modelling New'!$D:$D,'Modelling New'!$O:$O)*Plant_BD[[#This Row],[Lost PoA(kWh/m2)]]*Plant_BD[[#This Row],[DC Capacity Affected (kW)]]</f>
        <v>1987.6240080593748</v>
      </c>
      <c r="AN34" s="6"/>
      <c r="AO34" s="6"/>
      <c r="AP34" s="224"/>
    </row>
    <row r="35" spans="1:42" x14ac:dyDescent="0.3">
      <c r="A35" s="171">
        <f t="shared" si="0"/>
        <v>34</v>
      </c>
      <c r="B35" s="200">
        <v>45747</v>
      </c>
      <c r="C35" s="212">
        <f>YEAR(Plant_BD[[#This Row],[Date]])+IF(MONTH(Plant_BD[[#This Row],[Date]])&gt;=4,1,0)</f>
        <v>2025</v>
      </c>
      <c r="D35" s="212">
        <f>YEAR(Plant_BD[[#This Row],[Date]])</f>
        <v>2025</v>
      </c>
      <c r="E35" s="77" t="s">
        <v>1070</v>
      </c>
      <c r="F35" s="77" t="s">
        <v>1070</v>
      </c>
      <c r="G35" s="213">
        <f>Plant_BD[[#This Row],[Date]]-DAY(Plant_BD[[#This Row],[Date]])+1</f>
        <v>45717</v>
      </c>
      <c r="H35" s="3">
        <f>DAY(EOMONTH(Plant_BD[[#This Row],[Month Year]],0))</f>
        <v>31</v>
      </c>
      <c r="I35" s="214">
        <f>_xlfn.XLOOKUP(Plant_BD[[#This Row],[Date]],'Raw Data'!$G:$G,'Raw Data'!$I:$I)</f>
        <v>0.2638888888888889</v>
      </c>
      <c r="J35" s="214">
        <f>_xlfn.XLOOKUP(Plant_BD[[#This Row],[Date]],'Raw Data'!$G:$G,'Raw Data'!$J:$J)</f>
        <v>0.77013888888888893</v>
      </c>
      <c r="K35" s="215">
        <f>IFERROR((Plant_BD[[#This Row],[Sunset Time (POA&lt;20 W/m2)]]-Plant_BD[[#This Row],[Sunrise Time (POA&gt;20 W/m2)]])*24,"")</f>
        <v>12.150000000000002</v>
      </c>
      <c r="L35" s="215"/>
      <c r="M35" s="215"/>
      <c r="N35" s="215"/>
      <c r="O35" s="215"/>
      <c r="P35" s="215"/>
      <c r="Q35" s="215"/>
      <c r="R35" s="215"/>
      <c r="S35" s="215"/>
      <c r="T35" s="216" t="s">
        <v>168</v>
      </c>
      <c r="U35" s="16">
        <f>IFERROR(_xlfn.XLOOKUP(Plant_BD[[#This Row],[Affected Equipment]],'Basic Data'!$A:$A,'Basic Data'!$B:$B),"")</f>
        <v>2694.6</v>
      </c>
      <c r="V35" s="217">
        <f>IFERROR(_xlfn.XLOOKUP(Plant_BD[[#This Row],[Affected Equipment]],'Basic Data'!$A:$A,'Basic Data'!$C:$C),"")</f>
        <v>0.33594733758057077</v>
      </c>
      <c r="W35" s="218" t="s">
        <v>311</v>
      </c>
      <c r="X35" s="218" t="s">
        <v>1079</v>
      </c>
      <c r="Y35" s="218"/>
      <c r="Z35" s="219" t="s">
        <v>1079</v>
      </c>
      <c r="AA35" s="220">
        <v>0.68402777777777779</v>
      </c>
      <c r="AB35" s="220"/>
      <c r="AC35" s="220"/>
      <c r="AD35" s="220">
        <v>0.68611111111111112</v>
      </c>
      <c r="AE35" s="221">
        <f>IF(Plant_BD[[#This Row],[Acknowledgement Time ]]="NA","",(Plant_BD[[#This Row],[Acknowledgement Time ]]-Plant_BD[[#This Row],[Fault Time]])*24)</f>
        <v>-16.416666666666668</v>
      </c>
      <c r="AF35" s="221">
        <f>IF(Plant_BD[[#This Row],[Work Start time on Fault]]="NA","",(Plant_BD[[#This Row],[Work Start time on Fault]]-Plant_BD[[#This Row],[Fault Time]])*24)</f>
        <v>-16.416666666666668</v>
      </c>
      <c r="AG35" s="17">
        <f>(Plant_BD[[#This Row],[Work Completion time on fault]]-Plant_BD[[#This Row],[Fault Time]])*24</f>
        <v>4.9999999999999822E-2</v>
      </c>
      <c r="AH35" s="17">
        <f>IFERROR((Plant_BD[[#This Row],[Work Completion time on fault]]-Plant_BD[[#This Row],[Fault Time]])*24,"")</f>
        <v>4.9999999999999822E-2</v>
      </c>
      <c r="AI35" s="222" t="s">
        <v>1074</v>
      </c>
      <c r="AJ35" s="6" t="s">
        <v>1069</v>
      </c>
      <c r="AK35" s="223">
        <f>IFERROR(Plant_BD[[#This Row],[Breakdown Time]]*Plant_BD[[#This Row],[Plant Equivalent Weightage]],"")</f>
        <v>1.679736687902848E-2</v>
      </c>
      <c r="AL35" s="6">
        <v>0.02</v>
      </c>
      <c r="AM35" s="221">
        <f>_xlfn.XLOOKUP($G35,'Modelling New'!$D:$D,'Modelling New'!$O:$O)*Plant_BD[[#This Row],[Lost PoA(kWh/m2)]]*Plant_BD[[#This Row],[DC Capacity Affected (kW)]]</f>
        <v>38.454729374287687</v>
      </c>
      <c r="AN35" s="6"/>
      <c r="AO35" s="6"/>
      <c r="AP35" s="224"/>
    </row>
    <row r="36" spans="1:42" x14ac:dyDescent="0.3">
      <c r="A36" s="171">
        <f t="shared" si="0"/>
        <v>35</v>
      </c>
      <c r="B36" s="200">
        <v>45747</v>
      </c>
      <c r="C36" s="212">
        <f>YEAR(Plant_BD[[#This Row],[Date]])+IF(MONTH(Plant_BD[[#This Row],[Date]])&gt;=4,1,0)</f>
        <v>2025</v>
      </c>
      <c r="D36" s="212">
        <f>YEAR(Plant_BD[[#This Row],[Date]])</f>
        <v>2025</v>
      </c>
      <c r="E36" s="77" t="s">
        <v>1070</v>
      </c>
      <c r="F36" s="77" t="s">
        <v>1070</v>
      </c>
      <c r="G36" s="213">
        <f>Plant_BD[[#This Row],[Date]]-DAY(Plant_BD[[#This Row],[Date]])+1</f>
        <v>45717</v>
      </c>
      <c r="H36" s="3">
        <f>DAY(EOMONTH(Plant_BD[[#This Row],[Month Year]],0))</f>
        <v>31</v>
      </c>
      <c r="I36" s="214">
        <f>_xlfn.XLOOKUP(Plant_BD[[#This Row],[Date]],'Raw Data'!$G:$G,'Raw Data'!$I:$I)</f>
        <v>0.2638888888888889</v>
      </c>
      <c r="J36" s="214">
        <f>_xlfn.XLOOKUP(Plant_BD[[#This Row],[Date]],'Raw Data'!$G:$G,'Raw Data'!$J:$J)</f>
        <v>0.77013888888888893</v>
      </c>
      <c r="K36" s="215">
        <f>IFERROR((Plant_BD[[#This Row],[Sunset Time (POA&lt;20 W/m2)]]-Plant_BD[[#This Row],[Sunrise Time (POA&gt;20 W/m2)]])*24,"")</f>
        <v>12.150000000000002</v>
      </c>
      <c r="L36" s="215"/>
      <c r="M36" s="215"/>
      <c r="N36" s="215"/>
      <c r="O36" s="215"/>
      <c r="P36" s="215"/>
      <c r="Q36" s="215"/>
      <c r="R36" s="215"/>
      <c r="S36" s="215"/>
      <c r="T36" s="216" t="s">
        <v>219</v>
      </c>
      <c r="U36" s="16">
        <f>IFERROR(_xlfn.XLOOKUP(Plant_BD[[#This Row],[Affected Equipment]],'Basic Data'!$A:$A,'Basic Data'!$B:$B),"")</f>
        <v>669.6</v>
      </c>
      <c r="V36" s="217">
        <f>IFERROR(_xlfn.XLOOKUP(Plant_BD[[#This Row],[Affected Equipment]],'Basic Data'!$A:$A,'Basic Data'!$C:$C),"")</f>
        <v>8.348190352703562E-2</v>
      </c>
      <c r="W36" s="218" t="s">
        <v>311</v>
      </c>
      <c r="X36" s="218" t="s">
        <v>1076</v>
      </c>
      <c r="Y36" s="218"/>
      <c r="Z36" s="219" t="s">
        <v>1076</v>
      </c>
      <c r="AA36" s="220">
        <v>0.68611111111111112</v>
      </c>
      <c r="AB36" s="220"/>
      <c r="AC36" s="220"/>
      <c r="AD36" s="220">
        <v>0.76388888888888884</v>
      </c>
      <c r="AE36" s="221">
        <f>IF(Plant_BD[[#This Row],[Acknowledgement Time ]]="NA","",(Plant_BD[[#This Row],[Acknowledgement Time ]]-Plant_BD[[#This Row],[Fault Time]])*24)</f>
        <v>-16.466666666666669</v>
      </c>
      <c r="AF36" s="221">
        <f>IF(Plant_BD[[#This Row],[Work Start time on Fault]]="NA","",(Plant_BD[[#This Row],[Work Start time on Fault]]-Plant_BD[[#This Row],[Fault Time]])*24)</f>
        <v>-16.466666666666669</v>
      </c>
      <c r="AG36" s="17">
        <f>(Plant_BD[[#This Row],[Work Completion time on fault]]-Plant_BD[[#This Row],[Fault Time]])*24</f>
        <v>1.8666666666666654</v>
      </c>
      <c r="AH36" s="17">
        <f>IFERROR((Plant_BD[[#This Row],[Work Completion time on fault]]-Plant_BD[[#This Row],[Fault Time]])*24,"")</f>
        <v>1.8666666666666654</v>
      </c>
      <c r="AI36" s="222" t="s">
        <v>1072</v>
      </c>
      <c r="AJ36" s="6" t="s">
        <v>1068</v>
      </c>
      <c r="AK36" s="223">
        <f>IFERROR(Plant_BD[[#This Row],[Breakdown Time]]*Plant_BD[[#This Row],[Plant Equivalent Weightage]],"")</f>
        <v>0.15583288658379971</v>
      </c>
      <c r="AL36" s="6">
        <v>0.28999999999999998</v>
      </c>
      <c r="AM36" s="221">
        <f>_xlfn.XLOOKUP($G36,'Modelling New'!$D:$D,'Modelling New'!$O:$O)*Plant_BD[[#This Row],[Lost PoA(kWh/m2)]]*Plant_BD[[#This Row],[DC Capacity Affected (kW)]]</f>
        <v>138.56032748490833</v>
      </c>
      <c r="AN36" s="6"/>
      <c r="AO36" s="6"/>
      <c r="AP36" s="224"/>
    </row>
    <row r="37" spans="1:42" x14ac:dyDescent="0.3">
      <c r="A37" s="171">
        <f t="shared" si="0"/>
        <v>36</v>
      </c>
      <c r="B37" s="200">
        <v>45748</v>
      </c>
      <c r="C37" s="212">
        <f>YEAR(Plant_BD[[#This Row],[Date]])+IF(MONTH(Plant_BD[[#This Row],[Date]])&gt;=4,1,0)</f>
        <v>2026</v>
      </c>
      <c r="D37" s="212">
        <f>YEAR(Plant_BD[[#This Row],[Date]])</f>
        <v>2025</v>
      </c>
      <c r="E37" s="77" t="s">
        <v>1070</v>
      </c>
      <c r="F37" s="77" t="s">
        <v>1070</v>
      </c>
      <c r="G37" s="213">
        <f>Plant_BD[[#This Row],[Date]]-DAY(Plant_BD[[#This Row],[Date]])+1</f>
        <v>45748</v>
      </c>
      <c r="H37" s="3">
        <f>DAY(EOMONTH(Plant_BD[[#This Row],[Month Year]],0))</f>
        <v>30</v>
      </c>
      <c r="I37" s="214">
        <f>_xlfn.XLOOKUP(Plant_BD[[#This Row],[Date]],'Raw Data'!$G:$G,'Raw Data'!$I:$I)</f>
        <v>0.2638888888888889</v>
      </c>
      <c r="J37" s="214">
        <f>_xlfn.XLOOKUP(Plant_BD[[#This Row],[Date]],'Raw Data'!$G:$G,'Raw Data'!$J:$J)</f>
        <v>0.76597222222222228</v>
      </c>
      <c r="K37" s="215">
        <f>IFERROR((Plant_BD[[#This Row],[Sunset Time (POA&lt;20 W/m2)]]-Plant_BD[[#This Row],[Sunrise Time (POA&gt;20 W/m2)]])*24,"")</f>
        <v>12.050000000000002</v>
      </c>
      <c r="L37" s="215"/>
      <c r="M37" s="215"/>
      <c r="N37" s="215"/>
      <c r="O37" s="215"/>
      <c r="P37" s="215"/>
      <c r="Q37" s="215"/>
      <c r="R37" s="215"/>
      <c r="S37" s="215"/>
      <c r="T37" s="216" t="s">
        <v>226</v>
      </c>
      <c r="U37" s="16">
        <f>IFERROR(_xlfn.XLOOKUP(Plant_BD[[#This Row],[Affected Equipment]],'Basic Data'!$A:$A,'Basic Data'!$B:$B),"")</f>
        <v>658.8</v>
      </c>
      <c r="V37" s="217">
        <f>IFERROR(_xlfn.XLOOKUP(Plant_BD[[#This Row],[Affected Equipment]],'Basic Data'!$A:$A,'Basic Data'!$C:$C),"")</f>
        <v>8.2135421212083434E-2</v>
      </c>
      <c r="W37" s="218" t="s">
        <v>311</v>
      </c>
      <c r="X37" s="218" t="s">
        <v>1075</v>
      </c>
      <c r="Y37" s="218"/>
      <c r="Z37" s="219" t="s">
        <v>1075</v>
      </c>
      <c r="AA37" s="220">
        <v>0.2638888888888889</v>
      </c>
      <c r="AB37" s="220"/>
      <c r="AC37" s="220"/>
      <c r="AD37" s="220">
        <v>0.76597222222222228</v>
      </c>
      <c r="AE37" s="221">
        <f>IF(Plant_BD[[#This Row],[Acknowledgement Time ]]="NA","",(Plant_BD[[#This Row],[Acknowledgement Time ]]-Plant_BD[[#This Row],[Fault Time]])*24)</f>
        <v>-6.3333333333333339</v>
      </c>
      <c r="AF37" s="221">
        <f>IF(Plant_BD[[#This Row],[Work Start time on Fault]]="NA","",(Plant_BD[[#This Row],[Work Start time on Fault]]-Plant_BD[[#This Row],[Fault Time]])*24)</f>
        <v>-6.3333333333333339</v>
      </c>
      <c r="AG37" s="17">
        <f>(Plant_BD[[#This Row],[Work Completion time on fault]]-Plant_BD[[#This Row],[Fault Time]])*24</f>
        <v>12.050000000000002</v>
      </c>
      <c r="AH37" s="17">
        <f>IFERROR((Plant_BD[[#This Row],[Work Completion time on fault]]-Plant_BD[[#This Row],[Fault Time]])*24,"")</f>
        <v>12.050000000000002</v>
      </c>
      <c r="AI37" s="222" t="s">
        <v>1072</v>
      </c>
      <c r="AJ37" s="6" t="s">
        <v>1068</v>
      </c>
      <c r="AK37" s="223">
        <f>IFERROR(Plant_BD[[#This Row],[Breakdown Time]]*Plant_BD[[#This Row],[Plant Equivalent Weightage]],"")</f>
        <v>0.98973182560560558</v>
      </c>
      <c r="AL37" s="6">
        <v>6.04</v>
      </c>
      <c r="AM37" s="221">
        <f>_xlfn.XLOOKUP($G37,'Modelling New'!$D:$D,'Modelling New'!$O:$O)*Plant_BD[[#This Row],[Lost PoA(kWh/m2)]]*Plant_BD[[#This Row],[DC Capacity Affected (kW)]]</f>
        <v>2687.0208375717666</v>
      </c>
      <c r="AN37" s="6"/>
      <c r="AO37" s="6"/>
      <c r="AP37" s="224"/>
    </row>
    <row r="38" spans="1:42" x14ac:dyDescent="0.3">
      <c r="A38" s="171">
        <f t="shared" si="0"/>
        <v>37</v>
      </c>
      <c r="B38" s="200">
        <v>45748</v>
      </c>
      <c r="C38" s="212">
        <f>YEAR(Plant_BD[[#This Row],[Date]])+IF(MONTH(Plant_BD[[#This Row],[Date]])&gt;=4,1,0)</f>
        <v>2026</v>
      </c>
      <c r="D38" s="212">
        <f>YEAR(Plant_BD[[#This Row],[Date]])</f>
        <v>2025</v>
      </c>
      <c r="E38" s="77" t="s">
        <v>1070</v>
      </c>
      <c r="F38" s="77" t="s">
        <v>1070</v>
      </c>
      <c r="G38" s="213">
        <f>Plant_BD[[#This Row],[Date]]-DAY(Plant_BD[[#This Row],[Date]])+1</f>
        <v>45748</v>
      </c>
      <c r="H38" s="3">
        <f>DAY(EOMONTH(Plant_BD[[#This Row],[Month Year]],0))</f>
        <v>30</v>
      </c>
      <c r="I38" s="214">
        <f>_xlfn.XLOOKUP(Plant_BD[[#This Row],[Date]],'Raw Data'!$G:$G,'Raw Data'!$I:$I)</f>
        <v>0.2638888888888889</v>
      </c>
      <c r="J38" s="214">
        <f>_xlfn.XLOOKUP(Plant_BD[[#This Row],[Date]],'Raw Data'!$G:$G,'Raw Data'!$J:$J)</f>
        <v>0.76597222222222228</v>
      </c>
      <c r="K38" s="215">
        <f>IFERROR((Plant_BD[[#This Row],[Sunset Time (POA&lt;20 W/m2)]]-Plant_BD[[#This Row],[Sunrise Time (POA&gt;20 W/m2)]])*24,"")</f>
        <v>12.050000000000002</v>
      </c>
      <c r="L38" s="215"/>
      <c r="M38" s="215"/>
      <c r="N38" s="215"/>
      <c r="O38" s="215"/>
      <c r="P38" s="215"/>
      <c r="Q38" s="215"/>
      <c r="R38" s="215"/>
      <c r="S38" s="215"/>
      <c r="T38" s="216" t="s">
        <v>219</v>
      </c>
      <c r="U38" s="16">
        <f>IFERROR(_xlfn.XLOOKUP(Plant_BD[[#This Row],[Affected Equipment]],'Basic Data'!$A:$A,'Basic Data'!$B:$B),"")</f>
        <v>669.6</v>
      </c>
      <c r="V38" s="217">
        <f>IFERROR(_xlfn.XLOOKUP(Plant_BD[[#This Row],[Affected Equipment]],'Basic Data'!$A:$A,'Basic Data'!$C:$C),"")</f>
        <v>8.348190352703562E-2</v>
      </c>
      <c r="W38" s="218" t="s">
        <v>311</v>
      </c>
      <c r="X38" s="218" t="s">
        <v>1076</v>
      </c>
      <c r="Y38" s="218"/>
      <c r="Z38" s="219" t="s">
        <v>1076</v>
      </c>
      <c r="AA38" s="220">
        <v>0.2638888888888889</v>
      </c>
      <c r="AB38" s="220"/>
      <c r="AC38" s="220"/>
      <c r="AD38" s="220">
        <v>0.44027777777777777</v>
      </c>
      <c r="AE38" s="221">
        <f>IF(Plant_BD[[#This Row],[Acknowledgement Time ]]="NA","",(Plant_BD[[#This Row],[Acknowledgement Time ]]-Plant_BD[[#This Row],[Fault Time]])*24)</f>
        <v>-6.3333333333333339</v>
      </c>
      <c r="AF38" s="221">
        <f>IF(Plant_BD[[#This Row],[Work Start time on Fault]]="NA","",(Plant_BD[[#This Row],[Work Start time on Fault]]-Plant_BD[[#This Row],[Fault Time]])*24)</f>
        <v>-6.3333333333333339</v>
      </c>
      <c r="AG38" s="17">
        <f>(Plant_BD[[#This Row],[Work Completion time on fault]]-Plant_BD[[#This Row],[Fault Time]])*24</f>
        <v>4.2333333333333325</v>
      </c>
      <c r="AH38" s="17">
        <f>IFERROR((Plant_BD[[#This Row],[Work Completion time on fault]]-Plant_BD[[#This Row],[Fault Time]])*24,"")</f>
        <v>4.2333333333333325</v>
      </c>
      <c r="AI38" s="222" t="s">
        <v>1072</v>
      </c>
      <c r="AJ38" s="6" t="s">
        <v>1068</v>
      </c>
      <c r="AK38" s="223">
        <f>IFERROR(Plant_BD[[#This Row],[Breakdown Time]]*Plant_BD[[#This Row],[Plant Equivalent Weightage]],"")</f>
        <v>0.35340672493111741</v>
      </c>
      <c r="AL38" s="6">
        <v>1.41</v>
      </c>
      <c r="AM38" s="221">
        <f>_xlfn.XLOOKUP($G38,'Modelling New'!$D:$D,'Modelling New'!$O:$O)*Plant_BD[[#This Row],[Lost PoA(kWh/m2)]]*Plant_BD[[#This Row],[DC Capacity Affected (kW)]]</f>
        <v>637.55119319434334</v>
      </c>
      <c r="AN38" s="6"/>
      <c r="AO38" s="6"/>
      <c r="AP38" s="224"/>
    </row>
    <row r="39" spans="1:42" x14ac:dyDescent="0.3">
      <c r="A39" s="171">
        <f t="shared" si="0"/>
        <v>38</v>
      </c>
      <c r="B39" s="200">
        <v>45748</v>
      </c>
      <c r="C39" s="212">
        <f>YEAR(Plant_BD[[#This Row],[Date]])+IF(MONTH(Plant_BD[[#This Row],[Date]])&gt;=4,1,0)</f>
        <v>2026</v>
      </c>
      <c r="D39" s="212">
        <f>YEAR(Plant_BD[[#This Row],[Date]])</f>
        <v>2025</v>
      </c>
      <c r="E39" s="77" t="s">
        <v>1070</v>
      </c>
      <c r="F39" s="77" t="s">
        <v>1070</v>
      </c>
      <c r="G39" s="213">
        <f>Plant_BD[[#This Row],[Date]]-DAY(Plant_BD[[#This Row],[Date]])+1</f>
        <v>45748</v>
      </c>
      <c r="H39" s="3">
        <f>DAY(EOMONTH(Plant_BD[[#This Row],[Month Year]],0))</f>
        <v>30</v>
      </c>
      <c r="I39" s="214">
        <f>_xlfn.XLOOKUP(Plant_BD[[#This Row],[Date]],'Raw Data'!$G:$G,'Raw Data'!$I:$I)</f>
        <v>0.2638888888888889</v>
      </c>
      <c r="J39" s="214">
        <f>_xlfn.XLOOKUP(Plant_BD[[#This Row],[Date]],'Raw Data'!$G:$G,'Raw Data'!$J:$J)</f>
        <v>0.76597222222222228</v>
      </c>
      <c r="K39" s="215">
        <f>IFERROR((Plant_BD[[#This Row],[Sunset Time (POA&lt;20 W/m2)]]-Plant_BD[[#This Row],[Sunrise Time (POA&gt;20 W/m2)]])*24,"")</f>
        <v>12.050000000000002</v>
      </c>
      <c r="L39" s="215"/>
      <c r="M39" s="215"/>
      <c r="N39" s="215"/>
      <c r="O39" s="215"/>
      <c r="P39" s="215"/>
      <c r="Q39" s="215"/>
      <c r="R39" s="215"/>
      <c r="S39" s="215"/>
      <c r="T39" s="216" t="s">
        <v>168</v>
      </c>
      <c r="U39" s="16">
        <f>IFERROR(_xlfn.XLOOKUP(Plant_BD[[#This Row],[Affected Equipment]],'Basic Data'!$A:$A,'Basic Data'!$B:$B),"")</f>
        <v>2694.6</v>
      </c>
      <c r="V39" s="217">
        <f>IFERROR(_xlfn.XLOOKUP(Plant_BD[[#This Row],[Affected Equipment]],'Basic Data'!$A:$A,'Basic Data'!$C:$C),"")</f>
        <v>0.33594733758057077</v>
      </c>
      <c r="W39" s="218" t="s">
        <v>311</v>
      </c>
      <c r="X39" s="218" t="s">
        <v>1073</v>
      </c>
      <c r="Y39" s="218"/>
      <c r="Z39" s="219" t="s">
        <v>1077</v>
      </c>
      <c r="AA39" s="220">
        <v>0.44027777777777777</v>
      </c>
      <c r="AB39" s="220"/>
      <c r="AC39" s="220"/>
      <c r="AD39" s="220">
        <v>0.44583333333333336</v>
      </c>
      <c r="AE39" s="221">
        <f>IF(Plant_BD[[#This Row],[Acknowledgement Time ]]="NA","",(Plant_BD[[#This Row],[Acknowledgement Time ]]-Plant_BD[[#This Row],[Fault Time]])*24)</f>
        <v>-10.566666666666666</v>
      </c>
      <c r="AF39" s="221">
        <f>IF(Plant_BD[[#This Row],[Work Start time on Fault]]="NA","",(Plant_BD[[#This Row],[Work Start time on Fault]]-Plant_BD[[#This Row],[Fault Time]])*24)</f>
        <v>-10.566666666666666</v>
      </c>
      <c r="AG39" s="17">
        <f>(Plant_BD[[#This Row],[Work Completion time on fault]]-Plant_BD[[#This Row],[Fault Time]])*24</f>
        <v>0.13333333333333419</v>
      </c>
      <c r="AH39" s="17">
        <f>IFERROR((Plant_BD[[#This Row],[Work Completion time on fault]]-Plant_BD[[#This Row],[Fault Time]])*24,"")</f>
        <v>0.13333333333333419</v>
      </c>
      <c r="AI39" s="222" t="s">
        <v>1074</v>
      </c>
      <c r="AJ39" s="6" t="s">
        <v>1069</v>
      </c>
      <c r="AK39" s="223">
        <f>IFERROR(Plant_BD[[#This Row],[Breakdown Time]]*Plant_BD[[#This Row],[Plant Equivalent Weightage]],"")</f>
        <v>4.479297834407639E-2</v>
      </c>
      <c r="AL39" s="6">
        <v>0.1</v>
      </c>
      <c r="AM39" s="221">
        <f>_xlfn.XLOOKUP($G39,'Modelling New'!$D:$D,'Modelling New'!$O:$O)*Plant_BD[[#This Row],[Lost PoA(kWh/m2)]]*Plant_BD[[#This Row],[DC Capacity Affected (kW)]]</f>
        <v>181.95953180277817</v>
      </c>
      <c r="AN39" s="6"/>
      <c r="AO39" s="6"/>
      <c r="AP39" s="224"/>
    </row>
    <row r="40" spans="1:42" x14ac:dyDescent="0.3">
      <c r="A40" s="171">
        <f t="shared" si="0"/>
        <v>39</v>
      </c>
      <c r="B40" s="200">
        <v>45748</v>
      </c>
      <c r="C40" s="212">
        <f>YEAR(Plant_BD[[#This Row],[Date]])+IF(MONTH(Plant_BD[[#This Row],[Date]])&gt;=4,1,0)</f>
        <v>2026</v>
      </c>
      <c r="D40" s="212">
        <f>YEAR(Plant_BD[[#This Row],[Date]])</f>
        <v>2025</v>
      </c>
      <c r="E40" s="77" t="s">
        <v>1070</v>
      </c>
      <c r="F40" s="77" t="s">
        <v>1070</v>
      </c>
      <c r="G40" s="213">
        <f>Plant_BD[[#This Row],[Date]]-DAY(Plant_BD[[#This Row],[Date]])+1</f>
        <v>45748</v>
      </c>
      <c r="H40" s="3">
        <f>DAY(EOMONTH(Plant_BD[[#This Row],[Month Year]],0))</f>
        <v>30</v>
      </c>
      <c r="I40" s="214">
        <f>_xlfn.XLOOKUP(Plant_BD[[#This Row],[Date]],'Raw Data'!$G:$G,'Raw Data'!$I:$I)</f>
        <v>0.2638888888888889</v>
      </c>
      <c r="J40" s="214">
        <f>_xlfn.XLOOKUP(Plant_BD[[#This Row],[Date]],'Raw Data'!$G:$G,'Raw Data'!$J:$J)</f>
        <v>0.76597222222222228</v>
      </c>
      <c r="K40" s="215">
        <f>IFERROR((Plant_BD[[#This Row],[Sunset Time (POA&lt;20 W/m2)]]-Plant_BD[[#This Row],[Sunrise Time (POA&gt;20 W/m2)]])*24,"")</f>
        <v>12.050000000000002</v>
      </c>
      <c r="L40" s="215"/>
      <c r="M40" s="215"/>
      <c r="N40" s="215"/>
      <c r="O40" s="215"/>
      <c r="P40" s="215"/>
      <c r="Q40" s="215"/>
      <c r="R40" s="215"/>
      <c r="S40" s="215"/>
      <c r="T40" s="216" t="s">
        <v>219</v>
      </c>
      <c r="U40" s="16">
        <f>IFERROR(_xlfn.XLOOKUP(Plant_BD[[#This Row],[Affected Equipment]],'Basic Data'!$A:$A,'Basic Data'!$B:$B),"")</f>
        <v>669.6</v>
      </c>
      <c r="V40" s="217">
        <f>IFERROR(_xlfn.XLOOKUP(Plant_BD[[#This Row],[Affected Equipment]],'Basic Data'!$A:$A,'Basic Data'!$C:$C),"")</f>
        <v>8.348190352703562E-2</v>
      </c>
      <c r="W40" s="218" t="s">
        <v>311</v>
      </c>
      <c r="X40" s="218" t="s">
        <v>1076</v>
      </c>
      <c r="Y40" s="218"/>
      <c r="Z40" s="219" t="s">
        <v>1076</v>
      </c>
      <c r="AA40" s="220">
        <v>0.44583333333333336</v>
      </c>
      <c r="AB40" s="220"/>
      <c r="AC40" s="220"/>
      <c r="AD40" s="220">
        <v>0.69305555555555554</v>
      </c>
      <c r="AE40" s="221">
        <f>IF(Plant_BD[[#This Row],[Acknowledgement Time ]]="NA","",(Plant_BD[[#This Row],[Acknowledgement Time ]]-Plant_BD[[#This Row],[Fault Time]])*24)</f>
        <v>-10.700000000000001</v>
      </c>
      <c r="AF40" s="221">
        <f>IF(Plant_BD[[#This Row],[Work Start time on Fault]]="NA","",(Plant_BD[[#This Row],[Work Start time on Fault]]-Plant_BD[[#This Row],[Fault Time]])*24)</f>
        <v>-10.700000000000001</v>
      </c>
      <c r="AG40" s="17">
        <f>(Plant_BD[[#This Row],[Work Completion time on fault]]-Plant_BD[[#This Row],[Fault Time]])*24</f>
        <v>5.9333333333333318</v>
      </c>
      <c r="AH40" s="17">
        <f>IFERROR((Plant_BD[[#This Row],[Work Completion time on fault]]-Plant_BD[[#This Row],[Fault Time]])*24,"")</f>
        <v>5.9333333333333318</v>
      </c>
      <c r="AI40" s="222" t="s">
        <v>1072</v>
      </c>
      <c r="AJ40" s="6" t="s">
        <v>1068</v>
      </c>
      <c r="AK40" s="223">
        <f>IFERROR(Plant_BD[[#This Row],[Breakdown Time]]*Plant_BD[[#This Row],[Plant Equivalent Weightage]],"")</f>
        <v>0.49532596092707787</v>
      </c>
      <c r="AL40" s="6">
        <v>4.33</v>
      </c>
      <c r="AM40" s="221">
        <f>_xlfn.XLOOKUP($G40,'Modelling New'!$D:$D,'Modelling New'!$O:$O)*Plant_BD[[#This Row],[Lost PoA(kWh/m2)]]*Plant_BD[[#This Row],[DC Capacity Affected (kW)]]</f>
        <v>1957.8699762634801</v>
      </c>
      <c r="AN40" s="6"/>
      <c r="AO40" s="6"/>
      <c r="AP40" s="224"/>
    </row>
    <row r="41" spans="1:42" x14ac:dyDescent="0.3">
      <c r="A41" s="171">
        <f t="shared" si="0"/>
        <v>40</v>
      </c>
      <c r="B41" s="200">
        <v>45748</v>
      </c>
      <c r="C41" s="212">
        <f>YEAR(Plant_BD[[#This Row],[Date]])+IF(MONTH(Plant_BD[[#This Row],[Date]])&gt;=4,1,0)</f>
        <v>2026</v>
      </c>
      <c r="D41" s="212">
        <f>YEAR(Plant_BD[[#This Row],[Date]])</f>
        <v>2025</v>
      </c>
      <c r="E41" s="77" t="s">
        <v>1070</v>
      </c>
      <c r="F41" s="77" t="s">
        <v>1070</v>
      </c>
      <c r="G41" s="213">
        <f>Plant_BD[[#This Row],[Date]]-DAY(Plant_BD[[#This Row],[Date]])+1</f>
        <v>45748</v>
      </c>
      <c r="H41" s="3">
        <f>DAY(EOMONTH(Plant_BD[[#This Row],[Month Year]],0))</f>
        <v>30</v>
      </c>
      <c r="I41" s="214">
        <f>_xlfn.XLOOKUP(Plant_BD[[#This Row],[Date]],'Raw Data'!$G:$G,'Raw Data'!$I:$I)</f>
        <v>0.2638888888888889</v>
      </c>
      <c r="J41" s="214">
        <f>_xlfn.XLOOKUP(Plant_BD[[#This Row],[Date]],'Raw Data'!$G:$G,'Raw Data'!$J:$J)</f>
        <v>0.76597222222222228</v>
      </c>
      <c r="K41" s="215">
        <f>IFERROR((Plant_BD[[#This Row],[Sunset Time (POA&lt;20 W/m2)]]-Plant_BD[[#This Row],[Sunrise Time (POA&gt;20 W/m2)]])*24,"")</f>
        <v>12.050000000000002</v>
      </c>
      <c r="L41" s="215"/>
      <c r="M41" s="215"/>
      <c r="N41" s="215"/>
      <c r="O41" s="215"/>
      <c r="P41" s="215"/>
      <c r="Q41" s="215"/>
      <c r="R41" s="215"/>
      <c r="S41" s="215"/>
      <c r="T41" s="216" t="s">
        <v>220</v>
      </c>
      <c r="U41" s="16">
        <f>IFERROR(_xlfn.XLOOKUP(Plant_BD[[#This Row],[Affected Equipment]],'Basic Data'!$A:$A,'Basic Data'!$B:$B),"")</f>
        <v>669.6</v>
      </c>
      <c r="V41" s="217">
        <f>IFERROR(_xlfn.XLOOKUP(Plant_BD[[#This Row],[Affected Equipment]],'Basic Data'!$A:$A,'Basic Data'!$C:$C),"")</f>
        <v>8.348190352703562E-2</v>
      </c>
      <c r="W41" s="218" t="s">
        <v>311</v>
      </c>
      <c r="X41" s="218" t="s">
        <v>1078</v>
      </c>
      <c r="Y41" s="218"/>
      <c r="Z41" s="219" t="s">
        <v>1078</v>
      </c>
      <c r="AA41" s="220">
        <v>0.44583333333333336</v>
      </c>
      <c r="AB41" s="220"/>
      <c r="AC41" s="220"/>
      <c r="AD41" s="220">
        <v>0.69305555555555554</v>
      </c>
      <c r="AE41" s="221">
        <f>IF(Plant_BD[[#This Row],[Acknowledgement Time ]]="NA","",(Plant_BD[[#This Row],[Acknowledgement Time ]]-Plant_BD[[#This Row],[Fault Time]])*24)</f>
        <v>-10.700000000000001</v>
      </c>
      <c r="AF41" s="221">
        <f>IF(Plant_BD[[#This Row],[Work Start time on Fault]]="NA","",(Plant_BD[[#This Row],[Work Start time on Fault]]-Plant_BD[[#This Row],[Fault Time]])*24)</f>
        <v>-10.700000000000001</v>
      </c>
      <c r="AG41" s="17">
        <f>(Plant_BD[[#This Row],[Work Completion time on fault]]-Plant_BD[[#This Row],[Fault Time]])*24</f>
        <v>5.9333333333333318</v>
      </c>
      <c r="AH41" s="17">
        <f>IFERROR((Plant_BD[[#This Row],[Work Completion time on fault]]-Plant_BD[[#This Row],[Fault Time]])*24,"")</f>
        <v>5.9333333333333318</v>
      </c>
      <c r="AI41" s="222" t="s">
        <v>1078</v>
      </c>
      <c r="AJ41" s="6" t="s">
        <v>1068</v>
      </c>
      <c r="AK41" s="223">
        <f>IFERROR(Plant_BD[[#This Row],[Breakdown Time]]*Plant_BD[[#This Row],[Plant Equivalent Weightage]],"")</f>
        <v>0.49532596092707787</v>
      </c>
      <c r="AL41" s="6">
        <v>4.33</v>
      </c>
      <c r="AM41" s="221">
        <f>_xlfn.XLOOKUP($G41,'Modelling New'!$D:$D,'Modelling New'!$O:$O)*Plant_BD[[#This Row],[Lost PoA(kWh/m2)]]*Plant_BD[[#This Row],[DC Capacity Affected (kW)]]</f>
        <v>1957.8699762634801</v>
      </c>
      <c r="AN41" s="6"/>
      <c r="AO41" s="6"/>
      <c r="AP41" s="224"/>
    </row>
    <row r="42" spans="1:42" x14ac:dyDescent="0.3">
      <c r="A42" s="171">
        <f t="shared" si="0"/>
        <v>41</v>
      </c>
      <c r="B42" s="200">
        <v>45748</v>
      </c>
      <c r="C42" s="212">
        <f>YEAR(Plant_BD[[#This Row],[Date]])+IF(MONTH(Plant_BD[[#This Row],[Date]])&gt;=4,1,0)</f>
        <v>2026</v>
      </c>
      <c r="D42" s="212">
        <f>YEAR(Plant_BD[[#This Row],[Date]])</f>
        <v>2025</v>
      </c>
      <c r="E42" s="77" t="s">
        <v>1070</v>
      </c>
      <c r="F42" s="77" t="s">
        <v>1070</v>
      </c>
      <c r="G42" s="213">
        <f>Plant_BD[[#This Row],[Date]]-DAY(Plant_BD[[#This Row],[Date]])+1</f>
        <v>45748</v>
      </c>
      <c r="H42" s="3">
        <f>DAY(EOMONTH(Plant_BD[[#This Row],[Month Year]],0))</f>
        <v>30</v>
      </c>
      <c r="I42" s="214">
        <f>_xlfn.XLOOKUP(Plant_BD[[#This Row],[Date]],'Raw Data'!$G:$G,'Raw Data'!$I:$I)</f>
        <v>0.2638888888888889</v>
      </c>
      <c r="J42" s="214">
        <f>_xlfn.XLOOKUP(Plant_BD[[#This Row],[Date]],'Raw Data'!$G:$G,'Raw Data'!$J:$J)</f>
        <v>0.76597222222222228</v>
      </c>
      <c r="K42" s="215">
        <f>IFERROR((Plant_BD[[#This Row],[Sunset Time (POA&lt;20 W/m2)]]-Plant_BD[[#This Row],[Sunrise Time (POA&gt;20 W/m2)]])*24,"")</f>
        <v>12.050000000000002</v>
      </c>
      <c r="L42" s="215"/>
      <c r="M42" s="215"/>
      <c r="N42" s="215"/>
      <c r="O42" s="215"/>
      <c r="P42" s="215"/>
      <c r="Q42" s="215"/>
      <c r="R42" s="215"/>
      <c r="S42" s="215"/>
      <c r="T42" s="216" t="s">
        <v>168</v>
      </c>
      <c r="U42" s="16">
        <f>IFERROR(_xlfn.XLOOKUP(Plant_BD[[#This Row],[Affected Equipment]],'Basic Data'!$A:$A,'Basic Data'!$B:$B),"")</f>
        <v>2694.6</v>
      </c>
      <c r="V42" s="217">
        <f>IFERROR(_xlfn.XLOOKUP(Plant_BD[[#This Row],[Affected Equipment]],'Basic Data'!$A:$A,'Basic Data'!$C:$C),"")</f>
        <v>0.33594733758057077</v>
      </c>
      <c r="W42" s="218" t="s">
        <v>311</v>
      </c>
      <c r="X42" s="218" t="s">
        <v>1079</v>
      </c>
      <c r="Y42" s="218"/>
      <c r="Z42" s="219" t="s">
        <v>1079</v>
      </c>
      <c r="AA42" s="220">
        <v>0.69305555555555554</v>
      </c>
      <c r="AB42" s="220"/>
      <c r="AC42" s="220"/>
      <c r="AD42" s="220">
        <v>0.69444444444444442</v>
      </c>
      <c r="AE42" s="221">
        <f>IF(Plant_BD[[#This Row],[Acknowledgement Time ]]="NA","",(Plant_BD[[#This Row],[Acknowledgement Time ]]-Plant_BD[[#This Row],[Fault Time]])*24)</f>
        <v>-16.633333333333333</v>
      </c>
      <c r="AF42" s="221">
        <f>IF(Plant_BD[[#This Row],[Work Start time on Fault]]="NA","",(Plant_BD[[#This Row],[Work Start time on Fault]]-Plant_BD[[#This Row],[Fault Time]])*24)</f>
        <v>-16.633333333333333</v>
      </c>
      <c r="AG42" s="17">
        <f>(Plant_BD[[#This Row],[Work Completion time on fault]]-Plant_BD[[#This Row],[Fault Time]])*24</f>
        <v>3.3333333333333215E-2</v>
      </c>
      <c r="AH42" s="17">
        <f>IFERROR((Plant_BD[[#This Row],[Work Completion time on fault]]-Plant_BD[[#This Row],[Fault Time]])*24,"")</f>
        <v>3.3333333333333215E-2</v>
      </c>
      <c r="AI42" s="222" t="s">
        <v>1074</v>
      </c>
      <c r="AJ42" s="6" t="s">
        <v>1069</v>
      </c>
      <c r="AK42" s="223">
        <f>IFERROR(Plant_BD[[#This Row],[Breakdown Time]]*Plant_BD[[#This Row],[Plant Equivalent Weightage]],"")</f>
        <v>1.1198244586018986E-2</v>
      </c>
      <c r="AL42" s="6">
        <v>0.01</v>
      </c>
      <c r="AM42" s="221">
        <f>_xlfn.XLOOKUP($G42,'Modelling New'!$D:$D,'Modelling New'!$O:$O)*Plant_BD[[#This Row],[Lost PoA(kWh/m2)]]*Plant_BD[[#This Row],[DC Capacity Affected (kW)]]</f>
        <v>18.195953180277815</v>
      </c>
      <c r="AN42" s="6"/>
      <c r="AO42" s="6"/>
      <c r="AP42" s="224"/>
    </row>
    <row r="43" spans="1:42" x14ac:dyDescent="0.3">
      <c r="A43" s="171">
        <f t="shared" si="0"/>
        <v>42</v>
      </c>
      <c r="B43" s="200">
        <v>45748</v>
      </c>
      <c r="C43" s="212">
        <f>YEAR(Plant_BD[[#This Row],[Date]])+IF(MONTH(Plant_BD[[#This Row],[Date]])&gt;=4,1,0)</f>
        <v>2026</v>
      </c>
      <c r="D43" s="212">
        <f>YEAR(Plant_BD[[#This Row],[Date]])</f>
        <v>2025</v>
      </c>
      <c r="E43" s="77" t="s">
        <v>1070</v>
      </c>
      <c r="F43" s="77" t="s">
        <v>1070</v>
      </c>
      <c r="G43" s="213">
        <f>Plant_BD[[#This Row],[Date]]-DAY(Plant_BD[[#This Row],[Date]])+1</f>
        <v>45748</v>
      </c>
      <c r="H43" s="3">
        <f>DAY(EOMONTH(Plant_BD[[#This Row],[Month Year]],0))</f>
        <v>30</v>
      </c>
      <c r="I43" s="214">
        <f>_xlfn.XLOOKUP(Plant_BD[[#This Row],[Date]],'Raw Data'!$G:$G,'Raw Data'!$I:$I)</f>
        <v>0.2638888888888889</v>
      </c>
      <c r="J43" s="214">
        <f>_xlfn.XLOOKUP(Plant_BD[[#This Row],[Date]],'Raw Data'!$G:$G,'Raw Data'!$J:$J)</f>
        <v>0.76597222222222228</v>
      </c>
      <c r="K43" s="215">
        <f>IFERROR((Plant_BD[[#This Row],[Sunset Time (POA&lt;20 W/m2)]]-Plant_BD[[#This Row],[Sunrise Time (POA&gt;20 W/m2)]])*24,"")</f>
        <v>12.050000000000002</v>
      </c>
      <c r="L43" s="215"/>
      <c r="M43" s="215"/>
      <c r="N43" s="215"/>
      <c r="O43" s="215"/>
      <c r="P43" s="215"/>
      <c r="Q43" s="215"/>
      <c r="R43" s="215"/>
      <c r="S43" s="215"/>
      <c r="T43" s="216" t="s">
        <v>219</v>
      </c>
      <c r="U43" s="16">
        <f>IFERROR(_xlfn.XLOOKUP(Plant_BD[[#This Row],[Affected Equipment]],'Basic Data'!$A:$A,'Basic Data'!$B:$B),"")</f>
        <v>669.6</v>
      </c>
      <c r="V43" s="217">
        <f>IFERROR(_xlfn.XLOOKUP(Plant_BD[[#This Row],[Affected Equipment]],'Basic Data'!$A:$A,'Basic Data'!$C:$C),"")</f>
        <v>8.348190352703562E-2</v>
      </c>
      <c r="W43" s="218" t="s">
        <v>311</v>
      </c>
      <c r="X43" s="218" t="s">
        <v>1076</v>
      </c>
      <c r="Y43" s="218"/>
      <c r="Z43" s="219" t="s">
        <v>1076</v>
      </c>
      <c r="AA43" s="220">
        <v>0.69444444444444442</v>
      </c>
      <c r="AB43" s="220"/>
      <c r="AC43" s="220"/>
      <c r="AD43" s="220">
        <v>0.76597222222222228</v>
      </c>
      <c r="AE43" s="221">
        <f>IF(Plant_BD[[#This Row],[Acknowledgement Time ]]="NA","",(Plant_BD[[#This Row],[Acknowledgement Time ]]-Plant_BD[[#This Row],[Fault Time]])*24)</f>
        <v>-16.666666666666664</v>
      </c>
      <c r="AF43" s="221">
        <f>IF(Plant_BD[[#This Row],[Work Start time on Fault]]="NA","",(Plant_BD[[#This Row],[Work Start time on Fault]]-Plant_BD[[#This Row],[Fault Time]])*24)</f>
        <v>-16.666666666666664</v>
      </c>
      <c r="AG43" s="17">
        <f>(Plant_BD[[#This Row],[Work Completion time on fault]]-Plant_BD[[#This Row],[Fault Time]])*24</f>
        <v>1.7166666666666686</v>
      </c>
      <c r="AH43" s="17">
        <f>IFERROR((Plant_BD[[#This Row],[Work Completion time on fault]]-Plant_BD[[#This Row],[Fault Time]])*24,"")</f>
        <v>1.7166666666666686</v>
      </c>
      <c r="AI43" s="222" t="s">
        <v>1072</v>
      </c>
      <c r="AJ43" s="6" t="s">
        <v>1068</v>
      </c>
      <c r="AK43" s="223">
        <f>IFERROR(Plant_BD[[#This Row],[Breakdown Time]]*Plant_BD[[#This Row],[Plant Equivalent Weightage]],"")</f>
        <v>0.14331060105474464</v>
      </c>
      <c r="AL43" s="6">
        <v>0.21</v>
      </c>
      <c r="AM43" s="221">
        <f>_xlfn.XLOOKUP($G43,'Modelling New'!$D:$D,'Modelling New'!$O:$O)*Plant_BD[[#This Row],[Lost PoA(kWh/m2)]]*Plant_BD[[#This Row],[DC Capacity Affected (kW)]]</f>
        <v>94.954433028944749</v>
      </c>
      <c r="AN43" s="6"/>
      <c r="AO43" s="6"/>
      <c r="AP43" s="224"/>
    </row>
    <row r="44" spans="1:42" x14ac:dyDescent="0.3">
      <c r="A44" s="171">
        <f t="shared" si="0"/>
        <v>43</v>
      </c>
      <c r="B44" s="200">
        <v>45749</v>
      </c>
      <c r="C44" s="212">
        <f>YEAR(Plant_BD[[#This Row],[Date]])+IF(MONTH(Plant_BD[[#This Row],[Date]])&gt;=4,1,0)</f>
        <v>2026</v>
      </c>
      <c r="D44" s="212">
        <f>YEAR(Plant_BD[[#This Row],[Date]])</f>
        <v>2025</v>
      </c>
      <c r="E44" s="77" t="s">
        <v>1070</v>
      </c>
      <c r="F44" s="77" t="s">
        <v>1070</v>
      </c>
      <c r="G44" s="213">
        <f>Plant_BD[[#This Row],[Date]]-DAY(Plant_BD[[#This Row],[Date]])+1</f>
        <v>45748</v>
      </c>
      <c r="H44" s="3">
        <f>DAY(EOMONTH(Plant_BD[[#This Row],[Month Year]],0))</f>
        <v>30</v>
      </c>
      <c r="I44" s="214">
        <f>_xlfn.XLOOKUP(Plant_BD[[#This Row],[Date]],'Raw Data'!$G:$G,'Raw Data'!$I:$I)</f>
        <v>0.26319444444444445</v>
      </c>
      <c r="J44" s="214">
        <f>_xlfn.XLOOKUP(Plant_BD[[#This Row],[Date]],'Raw Data'!$G:$G,'Raw Data'!$J:$J)</f>
        <v>0.7729166666666667</v>
      </c>
      <c r="K44" s="215">
        <f>IFERROR((Plant_BD[[#This Row],[Sunset Time (POA&lt;20 W/m2)]]-Plant_BD[[#This Row],[Sunrise Time (POA&gt;20 W/m2)]])*24,"")</f>
        <v>12.233333333333333</v>
      </c>
      <c r="L44" s="215"/>
      <c r="M44" s="215"/>
      <c r="N44" s="215"/>
      <c r="O44" s="215"/>
      <c r="P44" s="215"/>
      <c r="Q44" s="215"/>
      <c r="R44" s="215"/>
      <c r="S44" s="215"/>
      <c r="T44" s="216" t="s">
        <v>226</v>
      </c>
      <c r="U44" s="16">
        <f>IFERROR(_xlfn.XLOOKUP(Plant_BD[[#This Row],[Affected Equipment]],'Basic Data'!$A:$A,'Basic Data'!$B:$B),"")</f>
        <v>658.8</v>
      </c>
      <c r="V44" s="217">
        <f>IFERROR(_xlfn.XLOOKUP(Plant_BD[[#This Row],[Affected Equipment]],'Basic Data'!$A:$A,'Basic Data'!$C:$C),"")</f>
        <v>8.2135421212083434E-2</v>
      </c>
      <c r="W44" s="218" t="s">
        <v>291</v>
      </c>
      <c r="X44" s="218" t="s">
        <v>1075</v>
      </c>
      <c r="Y44" s="218"/>
      <c r="Z44" s="219" t="s">
        <v>1075</v>
      </c>
      <c r="AA44" s="220">
        <v>0.26319444444444445</v>
      </c>
      <c r="AB44" s="220"/>
      <c r="AC44" s="220"/>
      <c r="AD44" s="220">
        <v>0.7729166666666667</v>
      </c>
      <c r="AE44" s="221">
        <f>IF(Plant_BD[[#This Row],[Acknowledgement Time ]]="NA","",(Plant_BD[[#This Row],[Acknowledgement Time ]]-Plant_BD[[#This Row],[Fault Time]])*24)</f>
        <v>-6.3166666666666664</v>
      </c>
      <c r="AF44" s="221">
        <f>IF(Plant_BD[[#This Row],[Work Start time on Fault]]="NA","",(Plant_BD[[#This Row],[Work Start time on Fault]]-Plant_BD[[#This Row],[Fault Time]])*24)</f>
        <v>-6.3166666666666664</v>
      </c>
      <c r="AG44" s="17">
        <f>(Plant_BD[[#This Row],[Work Completion time on fault]]-Plant_BD[[#This Row],[Fault Time]])*24</f>
        <v>12.233333333333333</v>
      </c>
      <c r="AH44" s="17">
        <f>IFERROR((Plant_BD[[#This Row],[Work Completion time on fault]]-Plant_BD[[#This Row],[Fault Time]])*24,"")</f>
        <v>12.233333333333333</v>
      </c>
      <c r="AI44" s="222" t="s">
        <v>1072</v>
      </c>
      <c r="AJ44" s="6" t="s">
        <v>1068</v>
      </c>
      <c r="AK44" s="223">
        <f>IFERROR(Plant_BD[[#This Row],[Breakdown Time]]*Plant_BD[[#This Row],[Plant Equivalent Weightage]],"")</f>
        <v>1.004789986161154</v>
      </c>
      <c r="AL44" s="6">
        <v>6.71</v>
      </c>
      <c r="AM44" s="221">
        <f>_xlfn.XLOOKUP($G44,'Modelling New'!$D:$D,'Modelling New'!$O:$O)*Plant_BD[[#This Row],[Lost PoA(kWh/m2)]]*Plant_BD[[#This Row],[DC Capacity Affected (kW)]]</f>
        <v>2985.0844073024095</v>
      </c>
      <c r="AN44" s="6"/>
      <c r="AO44" s="6"/>
      <c r="AP44" s="224"/>
    </row>
    <row r="45" spans="1:42" x14ac:dyDescent="0.3">
      <c r="A45" s="171">
        <f t="shared" si="0"/>
        <v>44</v>
      </c>
      <c r="B45" s="200">
        <v>45749</v>
      </c>
      <c r="C45" s="212">
        <f>YEAR(Plant_BD[[#This Row],[Date]])+IF(MONTH(Plant_BD[[#This Row],[Date]])&gt;=4,1,0)</f>
        <v>2026</v>
      </c>
      <c r="D45" s="212">
        <f>YEAR(Plant_BD[[#This Row],[Date]])</f>
        <v>2025</v>
      </c>
      <c r="E45" s="77" t="s">
        <v>1070</v>
      </c>
      <c r="F45" s="77" t="s">
        <v>1070</v>
      </c>
      <c r="G45" s="213">
        <f>Plant_BD[[#This Row],[Date]]-DAY(Plant_BD[[#This Row],[Date]])+1</f>
        <v>45748</v>
      </c>
      <c r="H45" s="3">
        <f>DAY(EOMONTH(Plant_BD[[#This Row],[Month Year]],0))</f>
        <v>30</v>
      </c>
      <c r="I45" s="214">
        <f>_xlfn.XLOOKUP(Plant_BD[[#This Row],[Date]],'Raw Data'!$G:$G,'Raw Data'!$I:$I)</f>
        <v>0.26319444444444445</v>
      </c>
      <c r="J45" s="214">
        <f>_xlfn.XLOOKUP(Plant_BD[[#This Row],[Date]],'Raw Data'!$G:$G,'Raw Data'!$J:$J)</f>
        <v>0.7729166666666667</v>
      </c>
      <c r="K45" s="215">
        <f>IFERROR((Plant_BD[[#This Row],[Sunset Time (POA&lt;20 W/m2)]]-Plant_BD[[#This Row],[Sunrise Time (POA&gt;20 W/m2)]])*24,"")</f>
        <v>12.233333333333333</v>
      </c>
      <c r="L45" s="215"/>
      <c r="M45" s="215"/>
      <c r="N45" s="215"/>
      <c r="O45" s="215"/>
      <c r="P45" s="215"/>
      <c r="Q45" s="215"/>
      <c r="R45" s="215"/>
      <c r="S45" s="215"/>
      <c r="T45" s="216" t="s">
        <v>219</v>
      </c>
      <c r="U45" s="16">
        <f>IFERROR(_xlfn.XLOOKUP(Plant_BD[[#This Row],[Affected Equipment]],'Basic Data'!$A:$A,'Basic Data'!$B:$B),"")</f>
        <v>669.6</v>
      </c>
      <c r="V45" s="217">
        <f>IFERROR(_xlfn.XLOOKUP(Plant_BD[[#This Row],[Affected Equipment]],'Basic Data'!$A:$A,'Basic Data'!$C:$C),"")</f>
        <v>8.348190352703562E-2</v>
      </c>
      <c r="W45" s="218" t="s">
        <v>311</v>
      </c>
      <c r="X45" s="218" t="s">
        <v>1076</v>
      </c>
      <c r="Y45" s="218"/>
      <c r="Z45" s="219" t="s">
        <v>1076</v>
      </c>
      <c r="AA45" s="220">
        <v>0.26319444444444445</v>
      </c>
      <c r="AB45" s="220"/>
      <c r="AC45" s="220"/>
      <c r="AD45" s="220">
        <v>0.40763888888888888</v>
      </c>
      <c r="AE45" s="221">
        <f>IF(Plant_BD[[#This Row],[Acknowledgement Time ]]="NA","",(Plant_BD[[#This Row],[Acknowledgement Time ]]-Plant_BD[[#This Row],[Fault Time]])*24)</f>
        <v>-6.3166666666666664</v>
      </c>
      <c r="AF45" s="221">
        <f>IF(Plant_BD[[#This Row],[Work Start time on Fault]]="NA","",(Plant_BD[[#This Row],[Work Start time on Fault]]-Plant_BD[[#This Row],[Fault Time]])*24)</f>
        <v>-6.3166666666666664</v>
      </c>
      <c r="AG45" s="17">
        <f>(Plant_BD[[#This Row],[Work Completion time on fault]]-Plant_BD[[#This Row],[Fault Time]])*24</f>
        <v>3.4666666666666663</v>
      </c>
      <c r="AH45" s="17">
        <f>IFERROR((Plant_BD[[#This Row],[Work Completion time on fault]]-Plant_BD[[#This Row],[Fault Time]])*24,"")</f>
        <v>3.4666666666666663</v>
      </c>
      <c r="AI45" s="222" t="s">
        <v>1072</v>
      </c>
      <c r="AJ45" s="6" t="s">
        <v>1068</v>
      </c>
      <c r="AK45" s="223">
        <f>IFERROR(Plant_BD[[#This Row],[Breakdown Time]]*Plant_BD[[#This Row],[Plant Equivalent Weightage]],"")</f>
        <v>0.28940393222705679</v>
      </c>
      <c r="AL45" s="6">
        <v>1.01</v>
      </c>
      <c r="AM45" s="221">
        <f>_xlfn.XLOOKUP($G45,'Modelling New'!$D:$D,'Modelling New'!$O:$O)*Plant_BD[[#This Row],[Lost PoA(kWh/m2)]]*Plant_BD[[#This Row],[DC Capacity Affected (kW)]]</f>
        <v>456.68560647254384</v>
      </c>
      <c r="AN45" s="6"/>
      <c r="AO45" s="6"/>
      <c r="AP45" s="224"/>
    </row>
    <row r="46" spans="1:42" x14ac:dyDescent="0.3">
      <c r="A46" s="171">
        <f t="shared" si="0"/>
        <v>45</v>
      </c>
      <c r="B46" s="200">
        <v>45749</v>
      </c>
      <c r="C46" s="212">
        <f>YEAR(Plant_BD[[#This Row],[Date]])+IF(MONTH(Plant_BD[[#This Row],[Date]])&gt;=4,1,0)</f>
        <v>2026</v>
      </c>
      <c r="D46" s="212">
        <f>YEAR(Plant_BD[[#This Row],[Date]])</f>
        <v>2025</v>
      </c>
      <c r="E46" s="77" t="s">
        <v>1070</v>
      </c>
      <c r="F46" s="77" t="s">
        <v>1070</v>
      </c>
      <c r="G46" s="213">
        <f>Plant_BD[[#This Row],[Date]]-DAY(Plant_BD[[#This Row],[Date]])+1</f>
        <v>45748</v>
      </c>
      <c r="H46" s="3">
        <f>DAY(EOMONTH(Plant_BD[[#This Row],[Month Year]],0))</f>
        <v>30</v>
      </c>
      <c r="I46" s="214">
        <f>_xlfn.XLOOKUP(Plant_BD[[#This Row],[Date]],'Raw Data'!$G:$G,'Raw Data'!$I:$I)</f>
        <v>0.26319444444444445</v>
      </c>
      <c r="J46" s="214">
        <f>_xlfn.XLOOKUP(Plant_BD[[#This Row],[Date]],'Raw Data'!$G:$G,'Raw Data'!$J:$J)</f>
        <v>0.7729166666666667</v>
      </c>
      <c r="K46" s="215">
        <f>IFERROR((Plant_BD[[#This Row],[Sunset Time (POA&lt;20 W/m2)]]-Plant_BD[[#This Row],[Sunrise Time (POA&gt;20 W/m2)]])*24,"")</f>
        <v>12.233333333333333</v>
      </c>
      <c r="L46" s="215"/>
      <c r="M46" s="215"/>
      <c r="N46" s="215"/>
      <c r="O46" s="215"/>
      <c r="P46" s="215"/>
      <c r="Q46" s="215"/>
      <c r="R46" s="215"/>
      <c r="S46" s="215"/>
      <c r="T46" s="216" t="s">
        <v>168</v>
      </c>
      <c r="U46" s="16">
        <f>IFERROR(_xlfn.XLOOKUP(Plant_BD[[#This Row],[Affected Equipment]],'Basic Data'!$A:$A,'Basic Data'!$B:$B),"")</f>
        <v>2694.6</v>
      </c>
      <c r="V46" s="217">
        <f>IFERROR(_xlfn.XLOOKUP(Plant_BD[[#This Row],[Affected Equipment]],'Basic Data'!$A:$A,'Basic Data'!$C:$C),"")</f>
        <v>0.33594733758057077</v>
      </c>
      <c r="W46" s="218" t="s">
        <v>311</v>
      </c>
      <c r="X46" s="218" t="s">
        <v>1073</v>
      </c>
      <c r="Y46" s="218"/>
      <c r="Z46" s="219" t="s">
        <v>1077</v>
      </c>
      <c r="AA46" s="220">
        <v>0.40763888888888888</v>
      </c>
      <c r="AB46" s="220"/>
      <c r="AC46" s="220"/>
      <c r="AD46" s="220">
        <v>0.41388888888888886</v>
      </c>
      <c r="AE46" s="221">
        <f>IF(Plant_BD[[#This Row],[Acknowledgement Time ]]="NA","",(Plant_BD[[#This Row],[Acknowledgement Time ]]-Plant_BD[[#This Row],[Fault Time]])*24)</f>
        <v>-9.7833333333333332</v>
      </c>
      <c r="AF46" s="221">
        <f>IF(Plant_BD[[#This Row],[Work Start time on Fault]]="NA","",(Plant_BD[[#This Row],[Work Start time on Fault]]-Plant_BD[[#This Row],[Fault Time]])*24)</f>
        <v>-9.7833333333333332</v>
      </c>
      <c r="AG46" s="17">
        <f>(Plant_BD[[#This Row],[Work Completion time on fault]]-Plant_BD[[#This Row],[Fault Time]])*24</f>
        <v>0.14999999999999947</v>
      </c>
      <c r="AH46" s="17">
        <f>IFERROR((Plant_BD[[#This Row],[Work Completion time on fault]]-Plant_BD[[#This Row],[Fault Time]])*24,"")</f>
        <v>0.14999999999999947</v>
      </c>
      <c r="AI46" s="222" t="s">
        <v>1074</v>
      </c>
      <c r="AJ46" s="6" t="s">
        <v>1069</v>
      </c>
      <c r="AK46" s="223">
        <f>IFERROR(Plant_BD[[#This Row],[Breakdown Time]]*Plant_BD[[#This Row],[Plant Equivalent Weightage]],"")</f>
        <v>5.0392100637085435E-2</v>
      </c>
      <c r="AL46" s="6">
        <v>0.12</v>
      </c>
      <c r="AM46" s="221">
        <f>_xlfn.XLOOKUP($G46,'Modelling New'!$D:$D,'Modelling New'!$O:$O)*Plant_BD[[#This Row],[Lost PoA(kWh/m2)]]*Plant_BD[[#This Row],[DC Capacity Affected (kW)]]</f>
        <v>218.3514381633338</v>
      </c>
      <c r="AN46" s="6"/>
      <c r="AO46" s="6"/>
      <c r="AP46" s="224"/>
    </row>
    <row r="47" spans="1:42" x14ac:dyDescent="0.3">
      <c r="A47" s="171">
        <f t="shared" si="0"/>
        <v>46</v>
      </c>
      <c r="B47" s="200">
        <v>45749</v>
      </c>
      <c r="C47" s="212">
        <f>YEAR(Plant_BD[[#This Row],[Date]])+IF(MONTH(Plant_BD[[#This Row],[Date]])&gt;=4,1,0)</f>
        <v>2026</v>
      </c>
      <c r="D47" s="212">
        <f>YEAR(Plant_BD[[#This Row],[Date]])</f>
        <v>2025</v>
      </c>
      <c r="E47" s="77" t="s">
        <v>1070</v>
      </c>
      <c r="F47" s="77" t="s">
        <v>1070</v>
      </c>
      <c r="G47" s="213">
        <f>Plant_BD[[#This Row],[Date]]-DAY(Plant_BD[[#This Row],[Date]])+1</f>
        <v>45748</v>
      </c>
      <c r="H47" s="3">
        <f>DAY(EOMONTH(Plant_BD[[#This Row],[Month Year]],0))</f>
        <v>30</v>
      </c>
      <c r="I47" s="214">
        <f>_xlfn.XLOOKUP(Plant_BD[[#This Row],[Date]],'Raw Data'!$G:$G,'Raw Data'!$I:$I)</f>
        <v>0.26319444444444445</v>
      </c>
      <c r="J47" s="214">
        <f>_xlfn.XLOOKUP(Plant_BD[[#This Row],[Date]],'Raw Data'!$G:$G,'Raw Data'!$J:$J)</f>
        <v>0.7729166666666667</v>
      </c>
      <c r="K47" s="215">
        <f>IFERROR((Plant_BD[[#This Row],[Sunset Time (POA&lt;20 W/m2)]]-Plant_BD[[#This Row],[Sunrise Time (POA&gt;20 W/m2)]])*24,"")</f>
        <v>12.233333333333333</v>
      </c>
      <c r="L47" s="215"/>
      <c r="M47" s="215"/>
      <c r="N47" s="215"/>
      <c r="O47" s="215"/>
      <c r="P47" s="215"/>
      <c r="Q47" s="215"/>
      <c r="R47" s="215"/>
      <c r="S47" s="215"/>
      <c r="T47" s="216" t="s">
        <v>219</v>
      </c>
      <c r="U47" s="16">
        <f>IFERROR(_xlfn.XLOOKUP(Plant_BD[[#This Row],[Affected Equipment]],'Basic Data'!$A:$A,'Basic Data'!$B:$B),"")</f>
        <v>669.6</v>
      </c>
      <c r="V47" s="217">
        <f>IFERROR(_xlfn.XLOOKUP(Plant_BD[[#This Row],[Affected Equipment]],'Basic Data'!$A:$A,'Basic Data'!$C:$C),"")</f>
        <v>8.348190352703562E-2</v>
      </c>
      <c r="W47" s="218" t="s">
        <v>311</v>
      </c>
      <c r="X47" s="218" t="s">
        <v>1076</v>
      </c>
      <c r="Y47" s="218"/>
      <c r="Z47" s="219" t="s">
        <v>1076</v>
      </c>
      <c r="AA47" s="220">
        <v>0.41388888888888886</v>
      </c>
      <c r="AB47" s="220"/>
      <c r="AC47" s="220"/>
      <c r="AD47" s="220">
        <v>0.42152777777777778</v>
      </c>
      <c r="AE47" s="221">
        <f>IF(Plant_BD[[#This Row],[Acknowledgement Time ]]="NA","",(Plant_BD[[#This Row],[Acknowledgement Time ]]-Plant_BD[[#This Row],[Fault Time]])*24)</f>
        <v>-9.9333333333333336</v>
      </c>
      <c r="AF47" s="221">
        <f>IF(Plant_BD[[#This Row],[Work Start time on Fault]]="NA","",(Plant_BD[[#This Row],[Work Start time on Fault]]-Plant_BD[[#This Row],[Fault Time]])*24)</f>
        <v>-9.9333333333333336</v>
      </c>
      <c r="AG47" s="17">
        <f>(Plant_BD[[#This Row],[Work Completion time on fault]]-Plant_BD[[#This Row],[Fault Time]])*24</f>
        <v>0.18333333333333401</v>
      </c>
      <c r="AH47" s="17">
        <f>IFERROR((Plant_BD[[#This Row],[Work Completion time on fault]]-Plant_BD[[#This Row],[Fault Time]])*24,"")</f>
        <v>0.18333333333333401</v>
      </c>
      <c r="AI47" s="222" t="s">
        <v>1072</v>
      </c>
      <c r="AJ47" s="6" t="s">
        <v>1068</v>
      </c>
      <c r="AK47" s="223">
        <f>IFERROR(Plant_BD[[#This Row],[Breakdown Time]]*Plant_BD[[#This Row],[Plant Equivalent Weightage]],"")</f>
        <v>1.5305015646623253E-2</v>
      </c>
      <c r="AL47" s="6">
        <v>0.15</v>
      </c>
      <c r="AM47" s="221">
        <f>_xlfn.XLOOKUP($G47,'Modelling New'!$D:$D,'Modelling New'!$O:$O)*Plant_BD[[#This Row],[Lost PoA(kWh/m2)]]*Plant_BD[[#This Row],[DC Capacity Affected (kW)]]</f>
        <v>67.82459502067482</v>
      </c>
      <c r="AN47" s="6"/>
      <c r="AO47" s="6"/>
      <c r="AP47" s="224"/>
    </row>
    <row r="48" spans="1:42" x14ac:dyDescent="0.3">
      <c r="A48" s="171">
        <f t="shared" si="0"/>
        <v>47</v>
      </c>
      <c r="B48" s="200">
        <v>45749</v>
      </c>
      <c r="C48" s="212">
        <f>YEAR(Plant_BD[[#This Row],[Date]])+IF(MONTH(Plant_BD[[#This Row],[Date]])&gt;=4,1,0)</f>
        <v>2026</v>
      </c>
      <c r="D48" s="212">
        <f>YEAR(Plant_BD[[#This Row],[Date]])</f>
        <v>2025</v>
      </c>
      <c r="E48" s="77" t="s">
        <v>1070</v>
      </c>
      <c r="F48" s="77" t="s">
        <v>1070</v>
      </c>
      <c r="G48" s="213">
        <f>Plant_BD[[#This Row],[Date]]-DAY(Plant_BD[[#This Row],[Date]])+1</f>
        <v>45748</v>
      </c>
      <c r="H48" s="3">
        <f>DAY(EOMONTH(Plant_BD[[#This Row],[Month Year]],0))</f>
        <v>30</v>
      </c>
      <c r="I48" s="214">
        <f>_xlfn.XLOOKUP(Plant_BD[[#This Row],[Date]],'Raw Data'!$G:$G,'Raw Data'!$I:$I)</f>
        <v>0.26319444444444445</v>
      </c>
      <c r="J48" s="214">
        <f>_xlfn.XLOOKUP(Plant_BD[[#This Row],[Date]],'Raw Data'!$G:$G,'Raw Data'!$J:$J)</f>
        <v>0.7729166666666667</v>
      </c>
      <c r="K48" s="215">
        <f>IFERROR((Plant_BD[[#This Row],[Sunset Time (POA&lt;20 W/m2)]]-Plant_BD[[#This Row],[Sunrise Time (POA&gt;20 W/m2)]])*24,"")</f>
        <v>12.233333333333333</v>
      </c>
      <c r="L48" s="215"/>
      <c r="M48" s="215"/>
      <c r="N48" s="215"/>
      <c r="O48" s="215"/>
      <c r="P48" s="215"/>
      <c r="Q48" s="215"/>
      <c r="R48" s="215"/>
      <c r="S48" s="215"/>
      <c r="T48" s="216" t="s">
        <v>220</v>
      </c>
      <c r="U48" s="16">
        <f>IFERROR(_xlfn.XLOOKUP(Plant_BD[[#This Row],[Affected Equipment]],'Basic Data'!$A:$A,'Basic Data'!$B:$B),"")</f>
        <v>669.6</v>
      </c>
      <c r="V48" s="217">
        <f>IFERROR(_xlfn.XLOOKUP(Plant_BD[[#This Row],[Affected Equipment]],'Basic Data'!$A:$A,'Basic Data'!$C:$C),"")</f>
        <v>8.348190352703562E-2</v>
      </c>
      <c r="W48" s="218" t="s">
        <v>311</v>
      </c>
      <c r="X48" s="218" t="s">
        <v>1078</v>
      </c>
      <c r="Y48" s="218"/>
      <c r="Z48" s="219" t="s">
        <v>1078</v>
      </c>
      <c r="AA48" s="220">
        <v>0.41388888888888886</v>
      </c>
      <c r="AB48" s="220"/>
      <c r="AC48" s="220"/>
      <c r="AD48" s="220">
        <v>0.42152777777777778</v>
      </c>
      <c r="AE48" s="221">
        <f>IF(Plant_BD[[#This Row],[Acknowledgement Time ]]="NA","",(Plant_BD[[#This Row],[Acknowledgement Time ]]-Plant_BD[[#This Row],[Fault Time]])*24)</f>
        <v>-9.9333333333333336</v>
      </c>
      <c r="AF48" s="221">
        <f>IF(Plant_BD[[#This Row],[Work Start time on Fault]]="NA","",(Plant_BD[[#This Row],[Work Start time on Fault]]-Plant_BD[[#This Row],[Fault Time]])*24)</f>
        <v>-9.9333333333333336</v>
      </c>
      <c r="AG48" s="17">
        <f>(Plant_BD[[#This Row],[Work Completion time on fault]]-Plant_BD[[#This Row],[Fault Time]])*24</f>
        <v>0.18333333333333401</v>
      </c>
      <c r="AH48" s="17">
        <f>IFERROR((Plant_BD[[#This Row],[Work Completion time on fault]]-Plant_BD[[#This Row],[Fault Time]])*24,"")</f>
        <v>0.18333333333333401</v>
      </c>
      <c r="AI48" s="222" t="s">
        <v>1072</v>
      </c>
      <c r="AJ48" s="6" t="s">
        <v>1068</v>
      </c>
      <c r="AK48" s="223">
        <f>IFERROR(Plant_BD[[#This Row],[Breakdown Time]]*Plant_BD[[#This Row],[Plant Equivalent Weightage]],"")</f>
        <v>1.5305015646623253E-2</v>
      </c>
      <c r="AL48" s="6">
        <v>0.15</v>
      </c>
      <c r="AM48" s="221">
        <f>_xlfn.XLOOKUP($G48,'Modelling New'!$D:$D,'Modelling New'!$O:$O)*Plant_BD[[#This Row],[Lost PoA(kWh/m2)]]*Plant_BD[[#This Row],[DC Capacity Affected (kW)]]</f>
        <v>67.82459502067482</v>
      </c>
      <c r="AN48" s="6"/>
      <c r="AO48" s="6"/>
      <c r="AP48" s="224"/>
    </row>
    <row r="49" spans="1:42" x14ac:dyDescent="0.3">
      <c r="A49" s="171">
        <f t="shared" si="0"/>
        <v>48</v>
      </c>
      <c r="B49" s="200">
        <v>45749</v>
      </c>
      <c r="C49" s="212">
        <f>YEAR(Plant_BD[[#This Row],[Date]])+IF(MONTH(Plant_BD[[#This Row],[Date]])&gt;=4,1,0)</f>
        <v>2026</v>
      </c>
      <c r="D49" s="212">
        <f>YEAR(Plant_BD[[#This Row],[Date]])</f>
        <v>2025</v>
      </c>
      <c r="E49" s="77" t="s">
        <v>1070</v>
      </c>
      <c r="F49" s="77" t="s">
        <v>1070</v>
      </c>
      <c r="G49" s="213">
        <f>Plant_BD[[#This Row],[Date]]-DAY(Plant_BD[[#This Row],[Date]])+1</f>
        <v>45748</v>
      </c>
      <c r="H49" s="3">
        <f>DAY(EOMONTH(Plant_BD[[#This Row],[Month Year]],0))</f>
        <v>30</v>
      </c>
      <c r="I49" s="214">
        <f>_xlfn.XLOOKUP(Plant_BD[[#This Row],[Date]],'Raw Data'!$G:$G,'Raw Data'!$I:$I)</f>
        <v>0.26319444444444445</v>
      </c>
      <c r="J49" s="214">
        <f>_xlfn.XLOOKUP(Plant_BD[[#This Row],[Date]],'Raw Data'!$G:$G,'Raw Data'!$J:$J)</f>
        <v>0.7729166666666667</v>
      </c>
      <c r="K49" s="215">
        <f>IFERROR((Plant_BD[[#This Row],[Sunset Time (POA&lt;20 W/m2)]]-Plant_BD[[#This Row],[Sunrise Time (POA&gt;20 W/m2)]])*24,"")</f>
        <v>12.233333333333333</v>
      </c>
      <c r="L49" s="215"/>
      <c r="M49" s="215"/>
      <c r="N49" s="215"/>
      <c r="O49" s="215"/>
      <c r="P49" s="215"/>
      <c r="Q49" s="215"/>
      <c r="R49" s="215"/>
      <c r="S49" s="215"/>
      <c r="T49" s="216" t="s">
        <v>219</v>
      </c>
      <c r="U49" s="16">
        <f>IFERROR(_xlfn.XLOOKUP(Plant_BD[[#This Row],[Affected Equipment]],'Basic Data'!$A:$A,'Basic Data'!$B:$B),"")</f>
        <v>669.6</v>
      </c>
      <c r="V49" s="217">
        <f>IFERROR(_xlfn.XLOOKUP(Plant_BD[[#This Row],[Affected Equipment]],'Basic Data'!$A:$A,'Basic Data'!$C:$C),"")</f>
        <v>8.348190352703562E-2</v>
      </c>
      <c r="W49" s="218" t="s">
        <v>311</v>
      </c>
      <c r="X49" s="218" t="s">
        <v>1076</v>
      </c>
      <c r="Y49" s="218"/>
      <c r="Z49" s="219" t="s">
        <v>1076</v>
      </c>
      <c r="AA49" s="220">
        <v>0.42152777777777778</v>
      </c>
      <c r="AB49" s="220"/>
      <c r="AC49" s="220"/>
      <c r="AD49" s="220">
        <v>0.48749999999999999</v>
      </c>
      <c r="AE49" s="221">
        <f>IF(Plant_BD[[#This Row],[Acknowledgement Time ]]="NA","",(Plant_BD[[#This Row],[Acknowledgement Time ]]-Plant_BD[[#This Row],[Fault Time]])*24)</f>
        <v>-10.116666666666667</v>
      </c>
      <c r="AF49" s="221">
        <f>IF(Plant_BD[[#This Row],[Work Start time on Fault]]="NA","",(Plant_BD[[#This Row],[Work Start time on Fault]]-Plant_BD[[#This Row],[Fault Time]])*24)</f>
        <v>-10.116666666666667</v>
      </c>
      <c r="AG49" s="17">
        <f>(Plant_BD[[#This Row],[Work Completion time on fault]]-Plant_BD[[#This Row],[Fault Time]])*24</f>
        <v>1.583333333333333</v>
      </c>
      <c r="AH49" s="17">
        <f>IFERROR((Plant_BD[[#This Row],[Work Completion time on fault]]-Plant_BD[[#This Row],[Fault Time]])*24,"")</f>
        <v>1.583333333333333</v>
      </c>
      <c r="AI49" s="222" t="s">
        <v>1072</v>
      </c>
      <c r="AJ49" s="6" t="s">
        <v>1068</v>
      </c>
      <c r="AK49" s="223">
        <f>IFERROR(Plant_BD[[#This Row],[Breakdown Time]]*Plant_BD[[#This Row],[Plant Equivalent Weightage]],"")</f>
        <v>0.13217968058447305</v>
      </c>
      <c r="AL49" s="6">
        <v>1.45</v>
      </c>
      <c r="AM49" s="221">
        <f>_xlfn.XLOOKUP($G49,'Modelling New'!$D:$D,'Modelling New'!$O:$O)*Plant_BD[[#This Row],[Lost PoA(kWh/m2)]]*Plant_BD[[#This Row],[DC Capacity Affected (kW)]]</f>
        <v>655.63775186652333</v>
      </c>
      <c r="AN49" s="6"/>
      <c r="AO49" s="6"/>
      <c r="AP49" s="224"/>
    </row>
    <row r="50" spans="1:42" x14ac:dyDescent="0.3">
      <c r="A50" s="171">
        <f t="shared" si="0"/>
        <v>49</v>
      </c>
      <c r="B50" s="200">
        <v>45749</v>
      </c>
      <c r="C50" s="212">
        <f>YEAR(Plant_BD[[#This Row],[Date]])+IF(MONTH(Plant_BD[[#This Row],[Date]])&gt;=4,1,0)</f>
        <v>2026</v>
      </c>
      <c r="D50" s="212">
        <f>YEAR(Plant_BD[[#This Row],[Date]])</f>
        <v>2025</v>
      </c>
      <c r="E50" s="77" t="s">
        <v>1070</v>
      </c>
      <c r="F50" s="77" t="s">
        <v>1070</v>
      </c>
      <c r="G50" s="213">
        <f>Plant_BD[[#This Row],[Date]]-DAY(Plant_BD[[#This Row],[Date]])+1</f>
        <v>45748</v>
      </c>
      <c r="H50" s="3">
        <f>DAY(EOMONTH(Plant_BD[[#This Row],[Month Year]],0))</f>
        <v>30</v>
      </c>
      <c r="I50" s="214">
        <f>_xlfn.XLOOKUP(Plant_BD[[#This Row],[Date]],'Raw Data'!$G:$G,'Raw Data'!$I:$I)</f>
        <v>0.26319444444444445</v>
      </c>
      <c r="J50" s="214">
        <f>_xlfn.XLOOKUP(Plant_BD[[#This Row],[Date]],'Raw Data'!$G:$G,'Raw Data'!$J:$J)</f>
        <v>0.7729166666666667</v>
      </c>
      <c r="K50" s="215">
        <f>IFERROR((Plant_BD[[#This Row],[Sunset Time (POA&lt;20 W/m2)]]-Plant_BD[[#This Row],[Sunrise Time (POA&gt;20 W/m2)]])*24,"")</f>
        <v>12.233333333333333</v>
      </c>
      <c r="L50" s="215"/>
      <c r="M50" s="215"/>
      <c r="N50" s="215"/>
      <c r="O50" s="215"/>
      <c r="P50" s="215"/>
      <c r="Q50" s="215"/>
      <c r="R50" s="215"/>
      <c r="S50" s="215"/>
      <c r="T50" s="216" t="s">
        <v>220</v>
      </c>
      <c r="U50" s="16">
        <f>IFERROR(_xlfn.XLOOKUP(Plant_BD[[#This Row],[Affected Equipment]],'Basic Data'!$A:$A,'Basic Data'!$B:$B),"")</f>
        <v>669.6</v>
      </c>
      <c r="V50" s="217">
        <f>IFERROR(_xlfn.XLOOKUP(Plant_BD[[#This Row],[Affected Equipment]],'Basic Data'!$A:$A,'Basic Data'!$C:$C),"")</f>
        <v>8.348190352703562E-2</v>
      </c>
      <c r="W50" s="218" t="s">
        <v>311</v>
      </c>
      <c r="X50" s="218" t="s">
        <v>1078</v>
      </c>
      <c r="Y50" s="218"/>
      <c r="Z50" s="219" t="s">
        <v>1078</v>
      </c>
      <c r="AA50" s="220">
        <v>0.42152777777777778</v>
      </c>
      <c r="AB50" s="220"/>
      <c r="AC50" s="220"/>
      <c r="AD50" s="220">
        <v>0.48749999999999999</v>
      </c>
      <c r="AE50" s="221">
        <f>IF(Plant_BD[[#This Row],[Acknowledgement Time ]]="NA","",(Plant_BD[[#This Row],[Acknowledgement Time ]]-Plant_BD[[#This Row],[Fault Time]])*24)</f>
        <v>-10.116666666666667</v>
      </c>
      <c r="AF50" s="221">
        <f>IF(Plant_BD[[#This Row],[Work Start time on Fault]]="NA","",(Plant_BD[[#This Row],[Work Start time on Fault]]-Plant_BD[[#This Row],[Fault Time]])*24)</f>
        <v>-10.116666666666667</v>
      </c>
      <c r="AG50" s="17">
        <f>(Plant_BD[[#This Row],[Work Completion time on fault]]-Plant_BD[[#This Row],[Fault Time]])*24</f>
        <v>1.583333333333333</v>
      </c>
      <c r="AH50" s="17">
        <f>IFERROR((Plant_BD[[#This Row],[Work Completion time on fault]]-Plant_BD[[#This Row],[Fault Time]])*24,"")</f>
        <v>1.583333333333333</v>
      </c>
      <c r="AI50" s="222" t="s">
        <v>1072</v>
      </c>
      <c r="AJ50" s="6" t="s">
        <v>1068</v>
      </c>
      <c r="AK50" s="223">
        <f>IFERROR(Plant_BD[[#This Row],[Breakdown Time]]*Plant_BD[[#This Row],[Plant Equivalent Weightage]],"")</f>
        <v>0.13217968058447305</v>
      </c>
      <c r="AL50" s="6">
        <v>1.45</v>
      </c>
      <c r="AM50" s="221">
        <f>_xlfn.XLOOKUP($G50,'Modelling New'!$D:$D,'Modelling New'!$O:$O)*Plant_BD[[#This Row],[Lost PoA(kWh/m2)]]*Plant_BD[[#This Row],[DC Capacity Affected (kW)]]</f>
        <v>655.63775186652333</v>
      </c>
      <c r="AN50" s="6"/>
      <c r="AO50" s="6"/>
      <c r="AP50" s="224"/>
    </row>
    <row r="51" spans="1:42" x14ac:dyDescent="0.3">
      <c r="A51" s="171">
        <f t="shared" si="0"/>
        <v>50</v>
      </c>
      <c r="B51" s="200">
        <v>45749</v>
      </c>
      <c r="C51" s="212">
        <f>YEAR(Plant_BD[[#This Row],[Date]])+IF(MONTH(Plant_BD[[#This Row],[Date]])&gt;=4,1,0)</f>
        <v>2026</v>
      </c>
      <c r="D51" s="212">
        <f>YEAR(Plant_BD[[#This Row],[Date]])</f>
        <v>2025</v>
      </c>
      <c r="E51" s="77" t="s">
        <v>1070</v>
      </c>
      <c r="F51" s="77" t="s">
        <v>1070</v>
      </c>
      <c r="G51" s="213">
        <f>Plant_BD[[#This Row],[Date]]-DAY(Plant_BD[[#This Row],[Date]])+1</f>
        <v>45748</v>
      </c>
      <c r="H51" s="3">
        <f>DAY(EOMONTH(Plant_BD[[#This Row],[Month Year]],0))</f>
        <v>30</v>
      </c>
      <c r="I51" s="214">
        <f>_xlfn.XLOOKUP(Plant_BD[[#This Row],[Date]],'Raw Data'!$G:$G,'Raw Data'!$I:$I)</f>
        <v>0.26319444444444445</v>
      </c>
      <c r="J51" s="214">
        <f>_xlfn.XLOOKUP(Plant_BD[[#This Row],[Date]],'Raw Data'!$G:$G,'Raw Data'!$J:$J)</f>
        <v>0.7729166666666667</v>
      </c>
      <c r="K51" s="215">
        <f>IFERROR((Plant_BD[[#This Row],[Sunset Time (POA&lt;20 W/m2)]]-Plant_BD[[#This Row],[Sunrise Time (POA&gt;20 W/m2)]])*24,"")</f>
        <v>12.233333333333333</v>
      </c>
      <c r="L51" s="215"/>
      <c r="M51" s="215"/>
      <c r="N51" s="215"/>
      <c r="O51" s="215"/>
      <c r="P51" s="215"/>
      <c r="Q51" s="215"/>
      <c r="R51" s="215"/>
      <c r="S51" s="215"/>
      <c r="T51" s="216" t="s">
        <v>168</v>
      </c>
      <c r="U51" s="16">
        <f>IFERROR(_xlfn.XLOOKUP(Plant_BD[[#This Row],[Affected Equipment]],'Basic Data'!$A:$A,'Basic Data'!$B:$B),"")</f>
        <v>2694.6</v>
      </c>
      <c r="V51" s="217">
        <f>IFERROR(_xlfn.XLOOKUP(Plant_BD[[#This Row],[Affected Equipment]],'Basic Data'!$A:$A,'Basic Data'!$C:$C),"")</f>
        <v>0.33594733758057077</v>
      </c>
      <c r="W51" s="218" t="s">
        <v>311</v>
      </c>
      <c r="X51" s="218" t="s">
        <v>1077</v>
      </c>
      <c r="Y51" s="218"/>
      <c r="Z51" s="219" t="s">
        <v>1077</v>
      </c>
      <c r="AA51" s="220">
        <v>0.48749999999999999</v>
      </c>
      <c r="AB51" s="220"/>
      <c r="AC51" s="220"/>
      <c r="AD51" s="220">
        <v>0.49305555555555558</v>
      </c>
      <c r="AE51" s="221">
        <f>IF(Plant_BD[[#This Row],[Acknowledgement Time ]]="NA","",(Plant_BD[[#This Row],[Acknowledgement Time ]]-Plant_BD[[#This Row],[Fault Time]])*24)</f>
        <v>-11.7</v>
      </c>
      <c r="AF51" s="221">
        <f>IF(Plant_BD[[#This Row],[Work Start time on Fault]]="NA","",(Plant_BD[[#This Row],[Work Start time on Fault]]-Plant_BD[[#This Row],[Fault Time]])*24)</f>
        <v>-11.7</v>
      </c>
      <c r="AG51" s="17">
        <f>(Plant_BD[[#This Row],[Work Completion time on fault]]-Plant_BD[[#This Row],[Fault Time]])*24</f>
        <v>0.13333333333333419</v>
      </c>
      <c r="AH51" s="17">
        <f>IFERROR((Plant_BD[[#This Row],[Work Completion time on fault]]-Plant_BD[[#This Row],[Fault Time]])*24,"")</f>
        <v>0.13333333333333419</v>
      </c>
      <c r="AI51" s="222" t="s">
        <v>1074</v>
      </c>
      <c r="AJ51" s="6" t="s">
        <v>1069</v>
      </c>
      <c r="AK51" s="223">
        <f>IFERROR(Plant_BD[[#This Row],[Breakdown Time]]*Plant_BD[[#This Row],[Plant Equivalent Weightage]],"")</f>
        <v>4.479297834407639E-2</v>
      </c>
      <c r="AL51" s="6">
        <v>0.18</v>
      </c>
      <c r="AM51" s="221">
        <f>_xlfn.XLOOKUP($G51,'Modelling New'!$D:$D,'Modelling New'!$O:$O)*Plant_BD[[#This Row],[Lost PoA(kWh/m2)]]*Plant_BD[[#This Row],[DC Capacity Affected (kW)]]</f>
        <v>327.52715724500069</v>
      </c>
      <c r="AN51" s="6"/>
      <c r="AO51" s="6"/>
      <c r="AP51" s="224"/>
    </row>
    <row r="52" spans="1:42" x14ac:dyDescent="0.3">
      <c r="A52" s="171">
        <f t="shared" si="0"/>
        <v>51</v>
      </c>
      <c r="B52" s="200">
        <v>45749</v>
      </c>
      <c r="C52" s="212">
        <f>YEAR(Plant_BD[[#This Row],[Date]])+IF(MONTH(Plant_BD[[#This Row],[Date]])&gt;=4,1,0)</f>
        <v>2026</v>
      </c>
      <c r="D52" s="212">
        <f>YEAR(Plant_BD[[#This Row],[Date]])</f>
        <v>2025</v>
      </c>
      <c r="E52" s="77" t="s">
        <v>1070</v>
      </c>
      <c r="F52" s="77" t="s">
        <v>1070</v>
      </c>
      <c r="G52" s="213">
        <f>Plant_BD[[#This Row],[Date]]-DAY(Plant_BD[[#This Row],[Date]])+1</f>
        <v>45748</v>
      </c>
      <c r="H52" s="3">
        <f>DAY(EOMONTH(Plant_BD[[#This Row],[Month Year]],0))</f>
        <v>30</v>
      </c>
      <c r="I52" s="214">
        <f>_xlfn.XLOOKUP(Plant_BD[[#This Row],[Date]],'Raw Data'!$G:$G,'Raw Data'!$I:$I)</f>
        <v>0.26319444444444445</v>
      </c>
      <c r="J52" s="214">
        <f>_xlfn.XLOOKUP(Plant_BD[[#This Row],[Date]],'Raw Data'!$G:$G,'Raw Data'!$J:$J)</f>
        <v>0.7729166666666667</v>
      </c>
      <c r="K52" s="215">
        <f>IFERROR((Plant_BD[[#This Row],[Sunset Time (POA&lt;20 W/m2)]]-Plant_BD[[#This Row],[Sunrise Time (POA&gt;20 W/m2)]])*24,"")</f>
        <v>12.233333333333333</v>
      </c>
      <c r="L52" s="215"/>
      <c r="M52" s="215"/>
      <c r="N52" s="215"/>
      <c r="O52" s="215"/>
      <c r="P52" s="215"/>
      <c r="Q52" s="215"/>
      <c r="R52" s="215"/>
      <c r="S52" s="215"/>
      <c r="T52" s="216" t="s">
        <v>219</v>
      </c>
      <c r="U52" s="16">
        <f>IFERROR(_xlfn.XLOOKUP(Plant_BD[[#This Row],[Affected Equipment]],'Basic Data'!$A:$A,'Basic Data'!$B:$B),"")</f>
        <v>669.6</v>
      </c>
      <c r="V52" s="217">
        <f>IFERROR(_xlfn.XLOOKUP(Plant_BD[[#This Row],[Affected Equipment]],'Basic Data'!$A:$A,'Basic Data'!$C:$C),"")</f>
        <v>8.348190352703562E-2</v>
      </c>
      <c r="W52" s="218" t="s">
        <v>311</v>
      </c>
      <c r="X52" s="218" t="s">
        <v>1076</v>
      </c>
      <c r="Y52" s="218"/>
      <c r="Z52" s="219" t="s">
        <v>1076</v>
      </c>
      <c r="AA52" s="220">
        <v>0.49305555555555558</v>
      </c>
      <c r="AB52" s="220"/>
      <c r="AC52" s="220"/>
      <c r="AD52" s="220">
        <v>0.5083333333333333</v>
      </c>
      <c r="AE52" s="221">
        <f>IF(Plant_BD[[#This Row],[Acknowledgement Time ]]="NA","",(Plant_BD[[#This Row],[Acknowledgement Time ]]-Plant_BD[[#This Row],[Fault Time]])*24)</f>
        <v>-11.833333333333334</v>
      </c>
      <c r="AF52" s="221">
        <f>IF(Plant_BD[[#This Row],[Work Start time on Fault]]="NA","",(Plant_BD[[#This Row],[Work Start time on Fault]]-Plant_BD[[#This Row],[Fault Time]])*24)</f>
        <v>-11.833333333333334</v>
      </c>
      <c r="AG52" s="17">
        <f>(Plant_BD[[#This Row],[Work Completion time on fault]]-Plant_BD[[#This Row],[Fault Time]])*24</f>
        <v>0.36666666666666536</v>
      </c>
      <c r="AH52" s="17">
        <f>IFERROR((Plant_BD[[#This Row],[Work Completion time on fault]]-Plant_BD[[#This Row],[Fault Time]])*24,"")</f>
        <v>0.36666666666666536</v>
      </c>
      <c r="AI52" s="222" t="s">
        <v>1072</v>
      </c>
      <c r="AJ52" s="6" t="s">
        <v>1068</v>
      </c>
      <c r="AK52" s="223">
        <f>IFERROR(Plant_BD[[#This Row],[Breakdown Time]]*Plant_BD[[#This Row],[Plant Equivalent Weightage]],"")</f>
        <v>3.0610031293246284E-2</v>
      </c>
      <c r="AL52" s="6">
        <v>0.39</v>
      </c>
      <c r="AM52" s="221">
        <f>_xlfn.XLOOKUP($G52,'Modelling New'!$D:$D,'Modelling New'!$O:$O)*Plant_BD[[#This Row],[Lost PoA(kWh/m2)]]*Plant_BD[[#This Row],[DC Capacity Affected (kW)]]</f>
        <v>176.34394705375456</v>
      </c>
      <c r="AN52" s="6"/>
      <c r="AO52" s="6"/>
      <c r="AP52" s="224"/>
    </row>
    <row r="53" spans="1:42" x14ac:dyDescent="0.3">
      <c r="A53" s="171">
        <f t="shared" si="0"/>
        <v>52</v>
      </c>
      <c r="B53" s="200">
        <v>45749</v>
      </c>
      <c r="C53" s="212">
        <f>YEAR(Plant_BD[[#This Row],[Date]])+IF(MONTH(Plant_BD[[#This Row],[Date]])&gt;=4,1,0)</f>
        <v>2026</v>
      </c>
      <c r="D53" s="212">
        <f>YEAR(Plant_BD[[#This Row],[Date]])</f>
        <v>2025</v>
      </c>
      <c r="E53" s="77" t="s">
        <v>1070</v>
      </c>
      <c r="F53" s="77" t="s">
        <v>1070</v>
      </c>
      <c r="G53" s="213">
        <f>Plant_BD[[#This Row],[Date]]-DAY(Plant_BD[[#This Row],[Date]])+1</f>
        <v>45748</v>
      </c>
      <c r="H53" s="3">
        <f>DAY(EOMONTH(Plant_BD[[#This Row],[Month Year]],0))</f>
        <v>30</v>
      </c>
      <c r="I53" s="214">
        <f>_xlfn.XLOOKUP(Plant_BD[[#This Row],[Date]],'Raw Data'!$G:$G,'Raw Data'!$I:$I)</f>
        <v>0.26319444444444445</v>
      </c>
      <c r="J53" s="214">
        <f>_xlfn.XLOOKUP(Plant_BD[[#This Row],[Date]],'Raw Data'!$G:$G,'Raw Data'!$J:$J)</f>
        <v>0.7729166666666667</v>
      </c>
      <c r="K53" s="215">
        <f>IFERROR((Plant_BD[[#This Row],[Sunset Time (POA&lt;20 W/m2)]]-Plant_BD[[#This Row],[Sunrise Time (POA&gt;20 W/m2)]])*24,"")</f>
        <v>12.233333333333333</v>
      </c>
      <c r="L53" s="215"/>
      <c r="M53" s="215"/>
      <c r="N53" s="215"/>
      <c r="O53" s="215"/>
      <c r="P53" s="215"/>
      <c r="Q53" s="215"/>
      <c r="R53" s="215"/>
      <c r="S53" s="215"/>
      <c r="T53" s="216" t="s">
        <v>220</v>
      </c>
      <c r="U53" s="16">
        <f>IFERROR(_xlfn.XLOOKUP(Plant_BD[[#This Row],[Affected Equipment]],'Basic Data'!$A:$A,'Basic Data'!$B:$B),"")</f>
        <v>669.6</v>
      </c>
      <c r="V53" s="217">
        <f>IFERROR(_xlfn.XLOOKUP(Plant_BD[[#This Row],[Affected Equipment]],'Basic Data'!$A:$A,'Basic Data'!$C:$C),"")</f>
        <v>8.348190352703562E-2</v>
      </c>
      <c r="W53" s="218" t="s">
        <v>311</v>
      </c>
      <c r="X53" s="218" t="s">
        <v>1078</v>
      </c>
      <c r="Y53" s="218"/>
      <c r="Z53" s="219" t="s">
        <v>1078</v>
      </c>
      <c r="AA53" s="220">
        <v>0.49305555555555558</v>
      </c>
      <c r="AB53" s="220"/>
      <c r="AC53" s="220"/>
      <c r="AD53" s="220">
        <v>0.5083333333333333</v>
      </c>
      <c r="AE53" s="221">
        <f>IF(Plant_BD[[#This Row],[Acknowledgement Time ]]="NA","",(Plant_BD[[#This Row],[Acknowledgement Time ]]-Plant_BD[[#This Row],[Fault Time]])*24)</f>
        <v>-11.833333333333334</v>
      </c>
      <c r="AF53" s="221">
        <f>IF(Plant_BD[[#This Row],[Work Start time on Fault]]="NA","",(Plant_BD[[#This Row],[Work Start time on Fault]]-Plant_BD[[#This Row],[Fault Time]])*24)</f>
        <v>-11.833333333333334</v>
      </c>
      <c r="AG53" s="17">
        <f>(Plant_BD[[#This Row],[Work Completion time on fault]]-Plant_BD[[#This Row],[Fault Time]])*24</f>
        <v>0.36666666666666536</v>
      </c>
      <c r="AH53" s="17">
        <f>IFERROR((Plant_BD[[#This Row],[Work Completion time on fault]]-Plant_BD[[#This Row],[Fault Time]])*24,"")</f>
        <v>0.36666666666666536</v>
      </c>
      <c r="AI53" s="222" t="s">
        <v>1072</v>
      </c>
      <c r="AJ53" s="6" t="s">
        <v>1068</v>
      </c>
      <c r="AK53" s="223">
        <f>IFERROR(Plant_BD[[#This Row],[Breakdown Time]]*Plant_BD[[#This Row],[Plant Equivalent Weightage]],"")</f>
        <v>3.0610031293246284E-2</v>
      </c>
      <c r="AL53" s="6">
        <v>0.39</v>
      </c>
      <c r="AM53" s="221">
        <f>_xlfn.XLOOKUP($G53,'Modelling New'!$D:$D,'Modelling New'!$O:$O)*Plant_BD[[#This Row],[Lost PoA(kWh/m2)]]*Plant_BD[[#This Row],[DC Capacity Affected (kW)]]</f>
        <v>176.34394705375456</v>
      </c>
      <c r="AN53" s="6"/>
      <c r="AO53" s="6"/>
      <c r="AP53" s="224"/>
    </row>
    <row r="54" spans="1:42" x14ac:dyDescent="0.3">
      <c r="A54" s="171">
        <f t="shared" si="0"/>
        <v>53</v>
      </c>
      <c r="B54" s="200">
        <v>45749</v>
      </c>
      <c r="C54" s="212">
        <f>YEAR(Plant_BD[[#This Row],[Date]])+IF(MONTH(Plant_BD[[#This Row],[Date]])&gt;=4,1,0)</f>
        <v>2026</v>
      </c>
      <c r="D54" s="212">
        <f>YEAR(Plant_BD[[#This Row],[Date]])</f>
        <v>2025</v>
      </c>
      <c r="E54" s="77" t="s">
        <v>1070</v>
      </c>
      <c r="F54" s="77" t="s">
        <v>1070</v>
      </c>
      <c r="G54" s="213">
        <f>Plant_BD[[#This Row],[Date]]-DAY(Plant_BD[[#This Row],[Date]])+1</f>
        <v>45748</v>
      </c>
      <c r="H54" s="3">
        <f>DAY(EOMONTH(Plant_BD[[#This Row],[Month Year]],0))</f>
        <v>30</v>
      </c>
      <c r="I54" s="214">
        <f>_xlfn.XLOOKUP(Plant_BD[[#This Row],[Date]],'Raw Data'!$G:$G,'Raw Data'!$I:$I)</f>
        <v>0.26319444444444445</v>
      </c>
      <c r="J54" s="214">
        <f>_xlfn.XLOOKUP(Plant_BD[[#This Row],[Date]],'Raw Data'!$G:$G,'Raw Data'!$J:$J)</f>
        <v>0.7729166666666667</v>
      </c>
      <c r="K54" s="215">
        <f>IFERROR((Plant_BD[[#This Row],[Sunset Time (POA&lt;20 W/m2)]]-Plant_BD[[#This Row],[Sunrise Time (POA&gt;20 W/m2)]])*24,"")</f>
        <v>12.233333333333333</v>
      </c>
      <c r="L54" s="215"/>
      <c r="M54" s="215"/>
      <c r="N54" s="215"/>
      <c r="O54" s="215"/>
      <c r="P54" s="215"/>
      <c r="Q54" s="215"/>
      <c r="R54" s="215"/>
      <c r="S54" s="215"/>
      <c r="T54" s="216" t="s">
        <v>168</v>
      </c>
      <c r="U54" s="16">
        <f>IFERROR(_xlfn.XLOOKUP(Plant_BD[[#This Row],[Affected Equipment]],'Basic Data'!$A:$A,'Basic Data'!$B:$B),"")</f>
        <v>2694.6</v>
      </c>
      <c r="V54" s="217">
        <f>IFERROR(_xlfn.XLOOKUP(Plant_BD[[#This Row],[Affected Equipment]],'Basic Data'!$A:$A,'Basic Data'!$C:$C),"")</f>
        <v>0.33594733758057077</v>
      </c>
      <c r="W54" s="218" t="s">
        <v>311</v>
      </c>
      <c r="X54" s="218" t="s">
        <v>1077</v>
      </c>
      <c r="Y54" s="218"/>
      <c r="Z54" s="219" t="s">
        <v>1077</v>
      </c>
      <c r="AA54" s="220">
        <v>0.5083333333333333</v>
      </c>
      <c r="AB54" s="220"/>
      <c r="AC54" s="220"/>
      <c r="AD54" s="220">
        <v>0.5131944444444444</v>
      </c>
      <c r="AE54" s="221">
        <f>IF(Plant_BD[[#This Row],[Acknowledgement Time ]]="NA","",(Plant_BD[[#This Row],[Acknowledgement Time ]]-Plant_BD[[#This Row],[Fault Time]])*24)</f>
        <v>-12.2</v>
      </c>
      <c r="AF54" s="221">
        <f>IF(Plant_BD[[#This Row],[Work Start time on Fault]]="NA","",(Plant_BD[[#This Row],[Work Start time on Fault]]-Plant_BD[[#This Row],[Fault Time]])*24)</f>
        <v>-12.2</v>
      </c>
      <c r="AG54" s="17">
        <f>(Plant_BD[[#This Row],[Work Completion time on fault]]-Plant_BD[[#This Row],[Fault Time]])*24</f>
        <v>0.11666666666666625</v>
      </c>
      <c r="AH54" s="17">
        <f>IFERROR((Plant_BD[[#This Row],[Work Completion time on fault]]-Plant_BD[[#This Row],[Fault Time]])*24,"")</f>
        <v>0.11666666666666625</v>
      </c>
      <c r="AI54" s="222" t="s">
        <v>1074</v>
      </c>
      <c r="AJ54" s="6" t="s">
        <v>1069</v>
      </c>
      <c r="AK54" s="223">
        <f>IFERROR(Plant_BD[[#This Row],[Breakdown Time]]*Plant_BD[[#This Row],[Plant Equivalent Weightage]],"")</f>
        <v>3.9193856051066449E-2</v>
      </c>
      <c r="AL54" s="6">
        <v>0.13</v>
      </c>
      <c r="AM54" s="221">
        <f>_xlfn.XLOOKUP($G54,'Modelling New'!$D:$D,'Modelling New'!$O:$O)*Plant_BD[[#This Row],[Lost PoA(kWh/m2)]]*Plant_BD[[#This Row],[DC Capacity Affected (kW)]]</f>
        <v>236.54739134361159</v>
      </c>
      <c r="AN54" s="6"/>
      <c r="AO54" s="6"/>
      <c r="AP54" s="224"/>
    </row>
    <row r="55" spans="1:42" x14ac:dyDescent="0.3">
      <c r="A55" s="171">
        <f t="shared" si="0"/>
        <v>54</v>
      </c>
      <c r="B55" s="200">
        <v>45749</v>
      </c>
      <c r="C55" s="212">
        <f>YEAR(Plant_BD[[#This Row],[Date]])+IF(MONTH(Plant_BD[[#This Row],[Date]])&gt;=4,1,0)</f>
        <v>2026</v>
      </c>
      <c r="D55" s="212">
        <f>YEAR(Plant_BD[[#This Row],[Date]])</f>
        <v>2025</v>
      </c>
      <c r="E55" s="77" t="s">
        <v>1070</v>
      </c>
      <c r="F55" s="77" t="s">
        <v>1070</v>
      </c>
      <c r="G55" s="213">
        <f>Plant_BD[[#This Row],[Date]]-DAY(Plant_BD[[#This Row],[Date]])+1</f>
        <v>45748</v>
      </c>
      <c r="H55" s="3">
        <f>DAY(EOMONTH(Plant_BD[[#This Row],[Month Year]],0))</f>
        <v>30</v>
      </c>
      <c r="I55" s="214">
        <f>_xlfn.XLOOKUP(Plant_BD[[#This Row],[Date]],'Raw Data'!$G:$G,'Raw Data'!$I:$I)</f>
        <v>0.26319444444444445</v>
      </c>
      <c r="J55" s="214">
        <f>_xlfn.XLOOKUP(Plant_BD[[#This Row],[Date]],'Raw Data'!$G:$G,'Raw Data'!$J:$J)</f>
        <v>0.7729166666666667</v>
      </c>
      <c r="K55" s="215">
        <f>IFERROR((Plant_BD[[#This Row],[Sunset Time (POA&lt;20 W/m2)]]-Plant_BD[[#This Row],[Sunrise Time (POA&gt;20 W/m2)]])*24,"")</f>
        <v>12.233333333333333</v>
      </c>
      <c r="L55" s="215"/>
      <c r="M55" s="215"/>
      <c r="N55" s="215"/>
      <c r="O55" s="215"/>
      <c r="P55" s="215"/>
      <c r="Q55" s="215"/>
      <c r="R55" s="215"/>
      <c r="S55" s="215"/>
      <c r="T55" s="216" t="s">
        <v>219</v>
      </c>
      <c r="U55" s="16">
        <f>IFERROR(_xlfn.XLOOKUP(Plant_BD[[#This Row],[Affected Equipment]],'Basic Data'!$A:$A,'Basic Data'!$B:$B),"")</f>
        <v>669.6</v>
      </c>
      <c r="V55" s="217">
        <f>IFERROR(_xlfn.XLOOKUP(Plant_BD[[#This Row],[Affected Equipment]],'Basic Data'!$A:$A,'Basic Data'!$C:$C),"")</f>
        <v>8.348190352703562E-2</v>
      </c>
      <c r="W55" s="218" t="s">
        <v>311</v>
      </c>
      <c r="X55" s="218" t="s">
        <v>1076</v>
      </c>
      <c r="Y55" s="218"/>
      <c r="Z55" s="219" t="s">
        <v>1076</v>
      </c>
      <c r="AA55" s="220">
        <v>0.5131944444444444</v>
      </c>
      <c r="AB55" s="220"/>
      <c r="AC55" s="220"/>
      <c r="AD55" s="220">
        <v>0.53055555555555556</v>
      </c>
      <c r="AE55" s="221">
        <f>IF(Plant_BD[[#This Row],[Acknowledgement Time ]]="NA","",(Plant_BD[[#This Row],[Acknowledgement Time ]]-Plant_BD[[#This Row],[Fault Time]])*24)</f>
        <v>-12.316666666666666</v>
      </c>
      <c r="AF55" s="221">
        <f>IF(Plant_BD[[#This Row],[Work Start time on Fault]]="NA","",(Plant_BD[[#This Row],[Work Start time on Fault]]-Plant_BD[[#This Row],[Fault Time]])*24)</f>
        <v>-12.316666666666666</v>
      </c>
      <c r="AG55" s="17">
        <f>(Plant_BD[[#This Row],[Work Completion time on fault]]-Plant_BD[[#This Row],[Fault Time]])*24</f>
        <v>0.41666666666666785</v>
      </c>
      <c r="AH55" s="17">
        <f>IFERROR((Plant_BD[[#This Row],[Work Completion time on fault]]-Plant_BD[[#This Row],[Fault Time]])*24,"")</f>
        <v>0.41666666666666785</v>
      </c>
      <c r="AI55" s="222" t="s">
        <v>1072</v>
      </c>
      <c r="AJ55" s="6" t="s">
        <v>1068</v>
      </c>
      <c r="AK55" s="223">
        <f>IFERROR(Plant_BD[[#This Row],[Breakdown Time]]*Plant_BD[[#This Row],[Plant Equivalent Weightage]],"")</f>
        <v>3.4784126469598275E-2</v>
      </c>
      <c r="AL55" s="6">
        <v>0.42</v>
      </c>
      <c r="AM55" s="221">
        <f>_xlfn.XLOOKUP($G55,'Modelling New'!$D:$D,'Modelling New'!$O:$O)*Plant_BD[[#This Row],[Lost PoA(kWh/m2)]]*Plant_BD[[#This Row],[DC Capacity Affected (kW)]]</f>
        <v>189.9088660578895</v>
      </c>
      <c r="AN55" s="6"/>
      <c r="AO55" s="6"/>
      <c r="AP55" s="224"/>
    </row>
    <row r="56" spans="1:42" x14ac:dyDescent="0.3">
      <c r="A56" s="171">
        <f t="shared" si="0"/>
        <v>55</v>
      </c>
      <c r="B56" s="200">
        <v>45749</v>
      </c>
      <c r="C56" s="212">
        <f>YEAR(Plant_BD[[#This Row],[Date]])+IF(MONTH(Plant_BD[[#This Row],[Date]])&gt;=4,1,0)</f>
        <v>2026</v>
      </c>
      <c r="D56" s="212">
        <f>YEAR(Plant_BD[[#This Row],[Date]])</f>
        <v>2025</v>
      </c>
      <c r="E56" s="77" t="s">
        <v>1070</v>
      </c>
      <c r="F56" s="77" t="s">
        <v>1070</v>
      </c>
      <c r="G56" s="213">
        <f>Plant_BD[[#This Row],[Date]]-DAY(Plant_BD[[#This Row],[Date]])+1</f>
        <v>45748</v>
      </c>
      <c r="H56" s="3">
        <f>DAY(EOMONTH(Plant_BD[[#This Row],[Month Year]],0))</f>
        <v>30</v>
      </c>
      <c r="I56" s="214">
        <f>_xlfn.XLOOKUP(Plant_BD[[#This Row],[Date]],'Raw Data'!$G:$G,'Raw Data'!$I:$I)</f>
        <v>0.26319444444444445</v>
      </c>
      <c r="J56" s="214">
        <f>_xlfn.XLOOKUP(Plant_BD[[#This Row],[Date]],'Raw Data'!$G:$G,'Raw Data'!$J:$J)</f>
        <v>0.7729166666666667</v>
      </c>
      <c r="K56" s="215">
        <f>IFERROR((Plant_BD[[#This Row],[Sunset Time (POA&lt;20 W/m2)]]-Plant_BD[[#This Row],[Sunrise Time (POA&gt;20 W/m2)]])*24,"")</f>
        <v>12.233333333333333</v>
      </c>
      <c r="L56" s="215"/>
      <c r="M56" s="215"/>
      <c r="N56" s="215"/>
      <c r="O56" s="215"/>
      <c r="P56" s="215"/>
      <c r="Q56" s="215"/>
      <c r="R56" s="215"/>
      <c r="S56" s="215"/>
      <c r="T56" s="216" t="s">
        <v>220</v>
      </c>
      <c r="U56" s="16">
        <f>IFERROR(_xlfn.XLOOKUP(Plant_BD[[#This Row],[Affected Equipment]],'Basic Data'!$A:$A,'Basic Data'!$B:$B),"")</f>
        <v>669.6</v>
      </c>
      <c r="V56" s="217">
        <f>IFERROR(_xlfn.XLOOKUP(Plant_BD[[#This Row],[Affected Equipment]],'Basic Data'!$A:$A,'Basic Data'!$C:$C),"")</f>
        <v>8.348190352703562E-2</v>
      </c>
      <c r="W56" s="218" t="s">
        <v>311</v>
      </c>
      <c r="X56" s="218" t="s">
        <v>1078</v>
      </c>
      <c r="Y56" s="218"/>
      <c r="Z56" s="219" t="s">
        <v>1078</v>
      </c>
      <c r="AA56" s="220">
        <v>0.5131944444444444</v>
      </c>
      <c r="AB56" s="220"/>
      <c r="AC56" s="220"/>
      <c r="AD56" s="220">
        <v>0.53055555555555556</v>
      </c>
      <c r="AE56" s="221">
        <f>IF(Plant_BD[[#This Row],[Acknowledgement Time ]]="NA","",(Plant_BD[[#This Row],[Acknowledgement Time ]]-Plant_BD[[#This Row],[Fault Time]])*24)</f>
        <v>-12.316666666666666</v>
      </c>
      <c r="AF56" s="221">
        <f>IF(Plant_BD[[#This Row],[Work Start time on Fault]]="NA","",(Plant_BD[[#This Row],[Work Start time on Fault]]-Plant_BD[[#This Row],[Fault Time]])*24)</f>
        <v>-12.316666666666666</v>
      </c>
      <c r="AG56" s="17">
        <f>(Plant_BD[[#This Row],[Work Completion time on fault]]-Plant_BD[[#This Row],[Fault Time]])*24</f>
        <v>0.41666666666666785</v>
      </c>
      <c r="AH56" s="17">
        <f>IFERROR((Plant_BD[[#This Row],[Work Completion time on fault]]-Plant_BD[[#This Row],[Fault Time]])*24,"")</f>
        <v>0.41666666666666785</v>
      </c>
      <c r="AI56" s="222" t="s">
        <v>1072</v>
      </c>
      <c r="AJ56" s="6" t="s">
        <v>1068</v>
      </c>
      <c r="AK56" s="223">
        <f>IFERROR(Plant_BD[[#This Row],[Breakdown Time]]*Plant_BD[[#This Row],[Plant Equivalent Weightage]],"")</f>
        <v>3.4784126469598275E-2</v>
      </c>
      <c r="AL56" s="6">
        <v>0.42</v>
      </c>
      <c r="AM56" s="221">
        <f>_xlfn.XLOOKUP($G56,'Modelling New'!$D:$D,'Modelling New'!$O:$O)*Plant_BD[[#This Row],[Lost PoA(kWh/m2)]]*Plant_BD[[#This Row],[DC Capacity Affected (kW)]]</f>
        <v>189.9088660578895</v>
      </c>
      <c r="AN56" s="6"/>
      <c r="AO56" s="6"/>
      <c r="AP56" s="224"/>
    </row>
    <row r="57" spans="1:42" x14ac:dyDescent="0.3">
      <c r="A57" s="171">
        <f t="shared" si="0"/>
        <v>56</v>
      </c>
      <c r="B57" s="200">
        <v>45749</v>
      </c>
      <c r="C57" s="212">
        <f>YEAR(Plant_BD[[#This Row],[Date]])+IF(MONTH(Plant_BD[[#This Row],[Date]])&gt;=4,1,0)</f>
        <v>2026</v>
      </c>
      <c r="D57" s="212">
        <f>YEAR(Plant_BD[[#This Row],[Date]])</f>
        <v>2025</v>
      </c>
      <c r="E57" s="77" t="s">
        <v>1070</v>
      </c>
      <c r="F57" s="77" t="s">
        <v>1070</v>
      </c>
      <c r="G57" s="213">
        <f>Plant_BD[[#This Row],[Date]]-DAY(Plant_BD[[#This Row],[Date]])+1</f>
        <v>45748</v>
      </c>
      <c r="H57" s="3">
        <f>DAY(EOMONTH(Plant_BD[[#This Row],[Month Year]],0))</f>
        <v>30</v>
      </c>
      <c r="I57" s="214">
        <f>_xlfn.XLOOKUP(Plant_BD[[#This Row],[Date]],'Raw Data'!$G:$G,'Raw Data'!$I:$I)</f>
        <v>0.26319444444444445</v>
      </c>
      <c r="J57" s="214">
        <f>_xlfn.XLOOKUP(Plant_BD[[#This Row],[Date]],'Raw Data'!$G:$G,'Raw Data'!$J:$J)</f>
        <v>0.7729166666666667</v>
      </c>
      <c r="K57" s="215">
        <f>IFERROR((Plant_BD[[#This Row],[Sunset Time (POA&lt;20 W/m2)]]-Plant_BD[[#This Row],[Sunrise Time (POA&gt;20 W/m2)]])*24,"")</f>
        <v>12.233333333333333</v>
      </c>
      <c r="L57" s="215"/>
      <c r="M57" s="215"/>
      <c r="N57" s="215"/>
      <c r="O57" s="215"/>
      <c r="P57" s="215"/>
      <c r="Q57" s="215"/>
      <c r="R57" s="215"/>
      <c r="S57" s="215"/>
      <c r="T57" s="216" t="s">
        <v>168</v>
      </c>
      <c r="U57" s="16">
        <f>IFERROR(_xlfn.XLOOKUP(Plant_BD[[#This Row],[Affected Equipment]],'Basic Data'!$A:$A,'Basic Data'!$B:$B),"")</f>
        <v>2694.6</v>
      </c>
      <c r="V57" s="217">
        <f>IFERROR(_xlfn.XLOOKUP(Plant_BD[[#This Row],[Affected Equipment]],'Basic Data'!$A:$A,'Basic Data'!$C:$C),"")</f>
        <v>0.33594733758057077</v>
      </c>
      <c r="W57" s="218" t="s">
        <v>311</v>
      </c>
      <c r="X57" s="218" t="s">
        <v>1077</v>
      </c>
      <c r="Y57" s="218"/>
      <c r="Z57" s="219" t="s">
        <v>1077</v>
      </c>
      <c r="AA57" s="220">
        <v>0.53055555555555556</v>
      </c>
      <c r="AB57" s="220"/>
      <c r="AC57" s="220"/>
      <c r="AD57" s="220">
        <v>0.53611111111111109</v>
      </c>
      <c r="AE57" s="221">
        <f>IF(Plant_BD[[#This Row],[Acknowledgement Time ]]="NA","",(Plant_BD[[#This Row],[Acknowledgement Time ]]-Plant_BD[[#This Row],[Fault Time]])*24)</f>
        <v>-12.733333333333334</v>
      </c>
      <c r="AF57" s="221">
        <f>IF(Plant_BD[[#This Row],[Work Start time on Fault]]="NA","",(Plant_BD[[#This Row],[Work Start time on Fault]]-Plant_BD[[#This Row],[Fault Time]])*24)</f>
        <v>-12.733333333333334</v>
      </c>
      <c r="AG57" s="17">
        <f>(Plant_BD[[#This Row],[Work Completion time on fault]]-Plant_BD[[#This Row],[Fault Time]])*24</f>
        <v>0.13333333333333286</v>
      </c>
      <c r="AH57" s="17">
        <f>IFERROR((Plant_BD[[#This Row],[Work Completion time on fault]]-Plant_BD[[#This Row],[Fault Time]])*24,"")</f>
        <v>0.13333333333333286</v>
      </c>
      <c r="AI57" s="222" t="s">
        <v>1074</v>
      </c>
      <c r="AJ57" s="6" t="s">
        <v>1069</v>
      </c>
      <c r="AK57" s="223">
        <f>IFERROR(Plant_BD[[#This Row],[Breakdown Time]]*Plant_BD[[#This Row],[Plant Equivalent Weightage]],"")</f>
        <v>4.4792978344075945E-2</v>
      </c>
      <c r="AL57" s="6">
        <v>0.14000000000000001</v>
      </c>
      <c r="AM57" s="221">
        <f>_xlfn.XLOOKUP($G57,'Modelling New'!$D:$D,'Modelling New'!$O:$O)*Plant_BD[[#This Row],[Lost PoA(kWh/m2)]]*Plant_BD[[#This Row],[DC Capacity Affected (kW)]]</f>
        <v>254.74334452388945</v>
      </c>
      <c r="AN57" s="6"/>
      <c r="AO57" s="6"/>
      <c r="AP57" s="224"/>
    </row>
    <row r="58" spans="1:42" x14ac:dyDescent="0.3">
      <c r="A58" s="171">
        <f t="shared" si="0"/>
        <v>57</v>
      </c>
      <c r="B58" s="200">
        <v>45749</v>
      </c>
      <c r="C58" s="212">
        <f>YEAR(Plant_BD[[#This Row],[Date]])+IF(MONTH(Plant_BD[[#This Row],[Date]])&gt;=4,1,0)</f>
        <v>2026</v>
      </c>
      <c r="D58" s="212">
        <f>YEAR(Plant_BD[[#This Row],[Date]])</f>
        <v>2025</v>
      </c>
      <c r="E58" s="77" t="s">
        <v>1070</v>
      </c>
      <c r="F58" s="77" t="s">
        <v>1070</v>
      </c>
      <c r="G58" s="213">
        <f>Plant_BD[[#This Row],[Date]]-DAY(Plant_BD[[#This Row],[Date]])+1</f>
        <v>45748</v>
      </c>
      <c r="H58" s="3">
        <f>DAY(EOMONTH(Plant_BD[[#This Row],[Month Year]],0))</f>
        <v>30</v>
      </c>
      <c r="I58" s="214">
        <f>_xlfn.XLOOKUP(Plant_BD[[#This Row],[Date]],'Raw Data'!$G:$G,'Raw Data'!$I:$I)</f>
        <v>0.26319444444444445</v>
      </c>
      <c r="J58" s="214">
        <f>_xlfn.XLOOKUP(Plant_BD[[#This Row],[Date]],'Raw Data'!$G:$G,'Raw Data'!$J:$J)</f>
        <v>0.7729166666666667</v>
      </c>
      <c r="K58" s="215">
        <f>IFERROR((Plant_BD[[#This Row],[Sunset Time (POA&lt;20 W/m2)]]-Plant_BD[[#This Row],[Sunrise Time (POA&gt;20 W/m2)]])*24,"")</f>
        <v>12.233333333333333</v>
      </c>
      <c r="L58" s="215"/>
      <c r="M58" s="215"/>
      <c r="N58" s="215"/>
      <c r="O58" s="215"/>
      <c r="P58" s="215"/>
      <c r="Q58" s="215"/>
      <c r="R58" s="215"/>
      <c r="S58" s="215"/>
      <c r="T58" s="216" t="s">
        <v>219</v>
      </c>
      <c r="U58" s="16">
        <f>IFERROR(_xlfn.XLOOKUP(Plant_BD[[#This Row],[Affected Equipment]],'Basic Data'!$A:$A,'Basic Data'!$B:$B),"")</f>
        <v>669.6</v>
      </c>
      <c r="V58" s="217">
        <f>IFERROR(_xlfn.XLOOKUP(Plant_BD[[#This Row],[Affected Equipment]],'Basic Data'!$A:$A,'Basic Data'!$C:$C),"")</f>
        <v>8.348190352703562E-2</v>
      </c>
      <c r="W58" s="218" t="s">
        <v>311</v>
      </c>
      <c r="X58" s="218" t="s">
        <v>1076</v>
      </c>
      <c r="Y58" s="218"/>
      <c r="Z58" s="219" t="s">
        <v>1076</v>
      </c>
      <c r="AA58" s="220">
        <v>0.53611111111111109</v>
      </c>
      <c r="AB58" s="220"/>
      <c r="AC58" s="220"/>
      <c r="AD58" s="220">
        <v>0.54583333333333328</v>
      </c>
      <c r="AE58" s="221">
        <f>IF(Plant_BD[[#This Row],[Acknowledgement Time ]]="NA","",(Plant_BD[[#This Row],[Acknowledgement Time ]]-Plant_BD[[#This Row],[Fault Time]])*24)</f>
        <v>-12.866666666666667</v>
      </c>
      <c r="AF58" s="221">
        <f>IF(Plant_BD[[#This Row],[Work Start time on Fault]]="NA","",(Plant_BD[[#This Row],[Work Start time on Fault]]-Plant_BD[[#This Row],[Fault Time]])*24)</f>
        <v>-12.866666666666667</v>
      </c>
      <c r="AG58" s="17">
        <f>(Plant_BD[[#This Row],[Work Completion time on fault]]-Plant_BD[[#This Row],[Fault Time]])*24</f>
        <v>0.2333333333333325</v>
      </c>
      <c r="AH58" s="17">
        <f>IFERROR((Plant_BD[[#This Row],[Work Completion time on fault]]-Plant_BD[[#This Row],[Fault Time]])*24,"")</f>
        <v>0.2333333333333325</v>
      </c>
      <c r="AI58" s="222" t="s">
        <v>1072</v>
      </c>
      <c r="AJ58" s="6" t="s">
        <v>1068</v>
      </c>
      <c r="AK58" s="223">
        <f>IFERROR(Plant_BD[[#This Row],[Breakdown Time]]*Plant_BD[[#This Row],[Plant Equivalent Weightage]],"")</f>
        <v>1.9479110822974908E-2</v>
      </c>
      <c r="AL58" s="6">
        <v>0.28999999999999998</v>
      </c>
      <c r="AM58" s="221">
        <f>_xlfn.XLOOKUP($G58,'Modelling New'!$D:$D,'Modelling New'!$O:$O)*Plant_BD[[#This Row],[Lost PoA(kWh/m2)]]*Plant_BD[[#This Row],[DC Capacity Affected (kW)]]</f>
        <v>131.12755037330467</v>
      </c>
      <c r="AN58" s="6"/>
      <c r="AO58" s="6"/>
      <c r="AP58" s="224"/>
    </row>
    <row r="59" spans="1:42" x14ac:dyDescent="0.3">
      <c r="A59" s="171">
        <f t="shared" si="0"/>
        <v>58</v>
      </c>
      <c r="B59" s="200">
        <v>45749</v>
      </c>
      <c r="C59" s="212">
        <f>YEAR(Plant_BD[[#This Row],[Date]])+IF(MONTH(Plant_BD[[#This Row],[Date]])&gt;=4,1,0)</f>
        <v>2026</v>
      </c>
      <c r="D59" s="212">
        <f>YEAR(Plant_BD[[#This Row],[Date]])</f>
        <v>2025</v>
      </c>
      <c r="E59" s="77" t="s">
        <v>1070</v>
      </c>
      <c r="F59" s="77" t="s">
        <v>1070</v>
      </c>
      <c r="G59" s="213">
        <f>Plant_BD[[#This Row],[Date]]-DAY(Plant_BD[[#This Row],[Date]])+1</f>
        <v>45748</v>
      </c>
      <c r="H59" s="3">
        <f>DAY(EOMONTH(Plant_BD[[#This Row],[Month Year]],0))</f>
        <v>30</v>
      </c>
      <c r="I59" s="214">
        <f>_xlfn.XLOOKUP(Plant_BD[[#This Row],[Date]],'Raw Data'!$G:$G,'Raw Data'!$I:$I)</f>
        <v>0.26319444444444445</v>
      </c>
      <c r="J59" s="214">
        <f>_xlfn.XLOOKUP(Plant_BD[[#This Row],[Date]],'Raw Data'!$G:$G,'Raw Data'!$J:$J)</f>
        <v>0.7729166666666667</v>
      </c>
      <c r="K59" s="215">
        <f>IFERROR((Plant_BD[[#This Row],[Sunset Time (POA&lt;20 W/m2)]]-Plant_BD[[#This Row],[Sunrise Time (POA&gt;20 W/m2)]])*24,"")</f>
        <v>12.233333333333333</v>
      </c>
      <c r="L59" s="215"/>
      <c r="M59" s="215"/>
      <c r="N59" s="215"/>
      <c r="O59" s="215"/>
      <c r="P59" s="215"/>
      <c r="Q59" s="215"/>
      <c r="R59" s="215"/>
      <c r="S59" s="215"/>
      <c r="T59" s="216" t="s">
        <v>220</v>
      </c>
      <c r="U59" s="16">
        <f>IFERROR(_xlfn.XLOOKUP(Plant_BD[[#This Row],[Affected Equipment]],'Basic Data'!$A:$A,'Basic Data'!$B:$B),"")</f>
        <v>669.6</v>
      </c>
      <c r="V59" s="217">
        <f>IFERROR(_xlfn.XLOOKUP(Plant_BD[[#This Row],[Affected Equipment]],'Basic Data'!$A:$A,'Basic Data'!$C:$C),"")</f>
        <v>8.348190352703562E-2</v>
      </c>
      <c r="W59" s="218" t="s">
        <v>311</v>
      </c>
      <c r="X59" s="218" t="s">
        <v>1078</v>
      </c>
      <c r="Y59" s="218"/>
      <c r="Z59" s="219" t="s">
        <v>1078</v>
      </c>
      <c r="AA59" s="220">
        <v>0.53611111111111109</v>
      </c>
      <c r="AB59" s="220"/>
      <c r="AC59" s="220"/>
      <c r="AD59" s="220">
        <v>0.54583333333333328</v>
      </c>
      <c r="AE59" s="221">
        <f>IF(Plant_BD[[#This Row],[Acknowledgement Time ]]="NA","",(Plant_BD[[#This Row],[Acknowledgement Time ]]-Plant_BD[[#This Row],[Fault Time]])*24)</f>
        <v>-12.866666666666667</v>
      </c>
      <c r="AF59" s="221">
        <f>IF(Plant_BD[[#This Row],[Work Start time on Fault]]="NA","",(Plant_BD[[#This Row],[Work Start time on Fault]]-Plant_BD[[#This Row],[Fault Time]])*24)</f>
        <v>-12.866666666666667</v>
      </c>
      <c r="AG59" s="17">
        <f>(Plant_BD[[#This Row],[Work Completion time on fault]]-Plant_BD[[#This Row],[Fault Time]])*24</f>
        <v>0.2333333333333325</v>
      </c>
      <c r="AH59" s="17">
        <f>IFERROR((Plant_BD[[#This Row],[Work Completion time on fault]]-Plant_BD[[#This Row],[Fault Time]])*24,"")</f>
        <v>0.2333333333333325</v>
      </c>
      <c r="AI59" s="222" t="s">
        <v>1072</v>
      </c>
      <c r="AJ59" s="6" t="s">
        <v>1068</v>
      </c>
      <c r="AK59" s="223">
        <f>IFERROR(Plant_BD[[#This Row],[Breakdown Time]]*Plant_BD[[#This Row],[Plant Equivalent Weightage]],"")</f>
        <v>1.9479110822974908E-2</v>
      </c>
      <c r="AL59" s="6">
        <v>0.28999999999999998</v>
      </c>
      <c r="AM59" s="221">
        <f>_xlfn.XLOOKUP($G59,'Modelling New'!$D:$D,'Modelling New'!$O:$O)*Plant_BD[[#This Row],[Lost PoA(kWh/m2)]]*Plant_BD[[#This Row],[DC Capacity Affected (kW)]]</f>
        <v>131.12755037330467</v>
      </c>
      <c r="AN59" s="6"/>
      <c r="AO59" s="6"/>
      <c r="AP59" s="224"/>
    </row>
    <row r="60" spans="1:42" x14ac:dyDescent="0.3">
      <c r="A60" s="171">
        <f t="shared" si="0"/>
        <v>59</v>
      </c>
      <c r="B60" s="200">
        <v>45749</v>
      </c>
      <c r="C60" s="212">
        <f>YEAR(Plant_BD[[#This Row],[Date]])+IF(MONTH(Plant_BD[[#This Row],[Date]])&gt;=4,1,0)</f>
        <v>2026</v>
      </c>
      <c r="D60" s="212">
        <f>YEAR(Plant_BD[[#This Row],[Date]])</f>
        <v>2025</v>
      </c>
      <c r="E60" s="77" t="s">
        <v>1070</v>
      </c>
      <c r="F60" s="77" t="s">
        <v>1070</v>
      </c>
      <c r="G60" s="213">
        <f>Plant_BD[[#This Row],[Date]]-DAY(Plant_BD[[#This Row],[Date]])+1</f>
        <v>45748</v>
      </c>
      <c r="H60" s="3">
        <f>DAY(EOMONTH(Plant_BD[[#This Row],[Month Year]],0))</f>
        <v>30</v>
      </c>
      <c r="I60" s="214">
        <f>_xlfn.XLOOKUP(Plant_BD[[#This Row],[Date]],'Raw Data'!$G:$G,'Raw Data'!$I:$I)</f>
        <v>0.26319444444444445</v>
      </c>
      <c r="J60" s="214">
        <f>_xlfn.XLOOKUP(Plant_BD[[#This Row],[Date]],'Raw Data'!$G:$G,'Raw Data'!$J:$J)</f>
        <v>0.7729166666666667</v>
      </c>
      <c r="K60" s="215">
        <f>IFERROR((Plant_BD[[#This Row],[Sunset Time (POA&lt;20 W/m2)]]-Plant_BD[[#This Row],[Sunrise Time (POA&gt;20 W/m2)]])*24,"")</f>
        <v>12.233333333333333</v>
      </c>
      <c r="L60" s="215"/>
      <c r="M60" s="215"/>
      <c r="N60" s="215"/>
      <c r="O60" s="215"/>
      <c r="P60" s="215"/>
      <c r="Q60" s="215"/>
      <c r="R60" s="215"/>
      <c r="S60" s="215"/>
      <c r="T60" s="216" t="s">
        <v>168</v>
      </c>
      <c r="U60" s="16">
        <f>IFERROR(_xlfn.XLOOKUP(Plant_BD[[#This Row],[Affected Equipment]],'Basic Data'!$A:$A,'Basic Data'!$B:$B),"")</f>
        <v>2694.6</v>
      </c>
      <c r="V60" s="217">
        <f>IFERROR(_xlfn.XLOOKUP(Plant_BD[[#This Row],[Affected Equipment]],'Basic Data'!$A:$A,'Basic Data'!$C:$C),"")</f>
        <v>0.33594733758057077</v>
      </c>
      <c r="W60" s="218" t="s">
        <v>311</v>
      </c>
      <c r="X60" s="218" t="s">
        <v>1077</v>
      </c>
      <c r="Y60" s="218"/>
      <c r="Z60" s="219" t="s">
        <v>1077</v>
      </c>
      <c r="AA60" s="220">
        <v>0.54583333333333328</v>
      </c>
      <c r="AB60" s="220"/>
      <c r="AC60" s="220"/>
      <c r="AD60" s="220">
        <v>0.60347222222222219</v>
      </c>
      <c r="AE60" s="221">
        <f>IF(Plant_BD[[#This Row],[Acknowledgement Time ]]="NA","",(Plant_BD[[#This Row],[Acknowledgement Time ]]-Plant_BD[[#This Row],[Fault Time]])*24)</f>
        <v>-13.099999999999998</v>
      </c>
      <c r="AF60" s="221">
        <f>IF(Plant_BD[[#This Row],[Work Start time on Fault]]="NA","",(Plant_BD[[#This Row],[Work Start time on Fault]]-Plant_BD[[#This Row],[Fault Time]])*24)</f>
        <v>-13.099999999999998</v>
      </c>
      <c r="AG60" s="17">
        <f>(Plant_BD[[#This Row],[Work Completion time on fault]]-Plant_BD[[#This Row],[Fault Time]])*24</f>
        <v>1.3833333333333337</v>
      </c>
      <c r="AH60" s="17">
        <f>IFERROR((Plant_BD[[#This Row],[Work Completion time on fault]]-Plant_BD[[#This Row],[Fault Time]])*24,"")</f>
        <v>1.3833333333333337</v>
      </c>
      <c r="AI60" s="222" t="s">
        <v>1074</v>
      </c>
      <c r="AJ60" s="6" t="s">
        <v>1069</v>
      </c>
      <c r="AK60" s="223">
        <f>IFERROR(Plant_BD[[#This Row],[Breakdown Time]]*Plant_BD[[#This Row],[Plant Equivalent Weightage]],"")</f>
        <v>0.46472715031978973</v>
      </c>
      <c r="AL60" s="6">
        <v>1.18</v>
      </c>
      <c r="AM60" s="221">
        <f>_xlfn.XLOOKUP($G60,'Modelling New'!$D:$D,'Modelling New'!$O:$O)*Plant_BD[[#This Row],[Lost PoA(kWh/m2)]]*Plant_BD[[#This Row],[DC Capacity Affected (kW)]]</f>
        <v>2147.1224752727821</v>
      </c>
      <c r="AN60" s="6"/>
      <c r="AO60" s="6"/>
      <c r="AP60" s="224"/>
    </row>
    <row r="61" spans="1:42" x14ac:dyDescent="0.3">
      <c r="A61" s="171">
        <f t="shared" si="0"/>
        <v>60</v>
      </c>
      <c r="B61" s="200">
        <v>45749</v>
      </c>
      <c r="C61" s="212">
        <f>YEAR(Plant_BD[[#This Row],[Date]])+IF(MONTH(Plant_BD[[#This Row],[Date]])&gt;=4,1,0)</f>
        <v>2026</v>
      </c>
      <c r="D61" s="212">
        <f>YEAR(Plant_BD[[#This Row],[Date]])</f>
        <v>2025</v>
      </c>
      <c r="E61" s="77" t="s">
        <v>1070</v>
      </c>
      <c r="F61" s="77" t="s">
        <v>1070</v>
      </c>
      <c r="G61" s="213">
        <f>Plant_BD[[#This Row],[Date]]-DAY(Plant_BD[[#This Row],[Date]])+1</f>
        <v>45748</v>
      </c>
      <c r="H61" s="3">
        <f>DAY(EOMONTH(Plant_BD[[#This Row],[Month Year]],0))</f>
        <v>30</v>
      </c>
      <c r="I61" s="214">
        <f>_xlfn.XLOOKUP(Plant_BD[[#This Row],[Date]],'Raw Data'!$G:$G,'Raw Data'!$I:$I)</f>
        <v>0.26319444444444445</v>
      </c>
      <c r="J61" s="214">
        <f>_xlfn.XLOOKUP(Plant_BD[[#This Row],[Date]],'Raw Data'!$G:$G,'Raw Data'!$J:$J)</f>
        <v>0.7729166666666667</v>
      </c>
      <c r="K61" s="215">
        <f>IFERROR((Plant_BD[[#This Row],[Sunset Time (POA&lt;20 W/m2)]]-Plant_BD[[#This Row],[Sunrise Time (POA&gt;20 W/m2)]])*24,"")</f>
        <v>12.233333333333333</v>
      </c>
      <c r="L61" s="215"/>
      <c r="M61" s="215"/>
      <c r="N61" s="215"/>
      <c r="O61" s="215"/>
      <c r="P61" s="215"/>
      <c r="Q61" s="215"/>
      <c r="R61" s="215"/>
      <c r="S61" s="215"/>
      <c r="T61" s="216" t="s">
        <v>219</v>
      </c>
      <c r="U61" s="16">
        <f>IFERROR(_xlfn.XLOOKUP(Plant_BD[[#This Row],[Affected Equipment]],'Basic Data'!$A:$A,'Basic Data'!$B:$B),"")</f>
        <v>669.6</v>
      </c>
      <c r="V61" s="217">
        <f>IFERROR(_xlfn.XLOOKUP(Plant_BD[[#This Row],[Affected Equipment]],'Basic Data'!$A:$A,'Basic Data'!$C:$C),"")</f>
        <v>8.348190352703562E-2</v>
      </c>
      <c r="W61" s="218" t="s">
        <v>311</v>
      </c>
      <c r="X61" s="218" t="s">
        <v>1076</v>
      </c>
      <c r="Y61" s="218"/>
      <c r="Z61" s="219" t="s">
        <v>1076</v>
      </c>
      <c r="AA61" s="220">
        <v>0.60347222222222219</v>
      </c>
      <c r="AB61" s="220"/>
      <c r="AC61" s="220"/>
      <c r="AD61" s="220">
        <v>0.69444444444444442</v>
      </c>
      <c r="AE61" s="221">
        <f>IF(Plant_BD[[#This Row],[Acknowledgement Time ]]="NA","",(Plant_BD[[#This Row],[Acknowledgement Time ]]-Plant_BD[[#This Row],[Fault Time]])*24)</f>
        <v>-14.483333333333333</v>
      </c>
      <c r="AF61" s="221">
        <f>IF(Plant_BD[[#This Row],[Work Start time on Fault]]="NA","",(Plant_BD[[#This Row],[Work Start time on Fault]]-Plant_BD[[#This Row],[Fault Time]])*24)</f>
        <v>-14.483333333333333</v>
      </c>
      <c r="AG61" s="17">
        <f>(Plant_BD[[#This Row],[Work Completion time on fault]]-Plant_BD[[#This Row],[Fault Time]])*24</f>
        <v>2.1833333333333336</v>
      </c>
      <c r="AH61" s="17">
        <f>IFERROR((Plant_BD[[#This Row],[Work Completion time on fault]]-Plant_BD[[#This Row],[Fault Time]])*24,"")</f>
        <v>2.1833333333333336</v>
      </c>
      <c r="AI61" s="222" t="s">
        <v>1072</v>
      </c>
      <c r="AJ61" s="6" t="s">
        <v>1068</v>
      </c>
      <c r="AK61" s="223">
        <f>IFERROR(Plant_BD[[#This Row],[Breakdown Time]]*Plant_BD[[#This Row],[Plant Equivalent Weightage]],"")</f>
        <v>0.18226882270069444</v>
      </c>
      <c r="AL61" s="6">
        <v>1.24</v>
      </c>
      <c r="AM61" s="221">
        <f>_xlfn.XLOOKUP($G61,'Modelling New'!$D:$D,'Modelling New'!$O:$O)*Plant_BD[[#This Row],[Lost PoA(kWh/m2)]]*Plant_BD[[#This Row],[DC Capacity Affected (kW)]]</f>
        <v>560.68331883757855</v>
      </c>
      <c r="AN61" s="6"/>
      <c r="AO61" s="6"/>
      <c r="AP61" s="224"/>
    </row>
    <row r="62" spans="1:42" x14ac:dyDescent="0.3">
      <c r="A62" s="171">
        <f t="shared" si="0"/>
        <v>61</v>
      </c>
      <c r="B62" s="200">
        <v>45749</v>
      </c>
      <c r="C62" s="212">
        <f>YEAR(Plant_BD[[#This Row],[Date]])+IF(MONTH(Plant_BD[[#This Row],[Date]])&gt;=4,1,0)</f>
        <v>2026</v>
      </c>
      <c r="D62" s="212">
        <f>YEAR(Plant_BD[[#This Row],[Date]])</f>
        <v>2025</v>
      </c>
      <c r="E62" s="77" t="s">
        <v>1070</v>
      </c>
      <c r="F62" s="77" t="s">
        <v>1070</v>
      </c>
      <c r="G62" s="213">
        <f>Plant_BD[[#This Row],[Date]]-DAY(Plant_BD[[#This Row],[Date]])+1</f>
        <v>45748</v>
      </c>
      <c r="H62" s="3">
        <f>DAY(EOMONTH(Plant_BD[[#This Row],[Month Year]],0))</f>
        <v>30</v>
      </c>
      <c r="I62" s="214">
        <f>_xlfn.XLOOKUP(Plant_BD[[#This Row],[Date]],'Raw Data'!$G:$G,'Raw Data'!$I:$I)</f>
        <v>0.26319444444444445</v>
      </c>
      <c r="J62" s="214">
        <f>_xlfn.XLOOKUP(Plant_BD[[#This Row],[Date]],'Raw Data'!$G:$G,'Raw Data'!$J:$J)</f>
        <v>0.7729166666666667</v>
      </c>
      <c r="K62" s="215">
        <f>IFERROR((Plant_BD[[#This Row],[Sunset Time (POA&lt;20 W/m2)]]-Plant_BD[[#This Row],[Sunrise Time (POA&gt;20 W/m2)]])*24,"")</f>
        <v>12.233333333333333</v>
      </c>
      <c r="L62" s="215"/>
      <c r="M62" s="215"/>
      <c r="N62" s="215"/>
      <c r="O62" s="215"/>
      <c r="P62" s="215"/>
      <c r="Q62" s="215"/>
      <c r="R62" s="215"/>
      <c r="S62" s="215"/>
      <c r="T62" s="216" t="s">
        <v>220</v>
      </c>
      <c r="U62" s="16">
        <f>IFERROR(_xlfn.XLOOKUP(Plant_BD[[#This Row],[Affected Equipment]],'Basic Data'!$A:$A,'Basic Data'!$B:$B),"")</f>
        <v>669.6</v>
      </c>
      <c r="V62" s="217">
        <f>IFERROR(_xlfn.XLOOKUP(Plant_BD[[#This Row],[Affected Equipment]],'Basic Data'!$A:$A,'Basic Data'!$C:$C),"")</f>
        <v>8.348190352703562E-2</v>
      </c>
      <c r="W62" s="218" t="s">
        <v>311</v>
      </c>
      <c r="X62" s="218" t="s">
        <v>1078</v>
      </c>
      <c r="Y62" s="218"/>
      <c r="Z62" s="219" t="s">
        <v>1078</v>
      </c>
      <c r="AA62" s="220">
        <v>0.60347222222222219</v>
      </c>
      <c r="AB62" s="220"/>
      <c r="AC62" s="220"/>
      <c r="AD62" s="220">
        <v>0.69444444444444442</v>
      </c>
      <c r="AE62" s="221">
        <f>IF(Plant_BD[[#This Row],[Acknowledgement Time ]]="NA","",(Plant_BD[[#This Row],[Acknowledgement Time ]]-Plant_BD[[#This Row],[Fault Time]])*24)</f>
        <v>-14.483333333333333</v>
      </c>
      <c r="AF62" s="221">
        <f>IF(Plant_BD[[#This Row],[Work Start time on Fault]]="NA","",(Plant_BD[[#This Row],[Work Start time on Fault]]-Plant_BD[[#This Row],[Fault Time]])*24)</f>
        <v>-14.483333333333333</v>
      </c>
      <c r="AG62" s="17">
        <f>(Plant_BD[[#This Row],[Work Completion time on fault]]-Plant_BD[[#This Row],[Fault Time]])*24</f>
        <v>2.1833333333333336</v>
      </c>
      <c r="AH62" s="17">
        <f>IFERROR((Plant_BD[[#This Row],[Work Completion time on fault]]-Plant_BD[[#This Row],[Fault Time]])*24,"")</f>
        <v>2.1833333333333336</v>
      </c>
      <c r="AI62" s="222" t="s">
        <v>1072</v>
      </c>
      <c r="AJ62" s="6" t="s">
        <v>1068</v>
      </c>
      <c r="AK62" s="223">
        <f>IFERROR(Plant_BD[[#This Row],[Breakdown Time]]*Plant_BD[[#This Row],[Plant Equivalent Weightage]],"")</f>
        <v>0.18226882270069444</v>
      </c>
      <c r="AL62" s="6">
        <v>1.24</v>
      </c>
      <c r="AM62" s="221">
        <f>_xlfn.XLOOKUP($G62,'Modelling New'!$D:$D,'Modelling New'!$O:$O)*Plant_BD[[#This Row],[Lost PoA(kWh/m2)]]*Plant_BD[[#This Row],[DC Capacity Affected (kW)]]</f>
        <v>560.68331883757855</v>
      </c>
      <c r="AN62" s="6"/>
      <c r="AO62" s="6"/>
      <c r="AP62" s="224"/>
    </row>
    <row r="63" spans="1:42" x14ac:dyDescent="0.3">
      <c r="A63" s="171">
        <f t="shared" si="0"/>
        <v>62</v>
      </c>
      <c r="B63" s="200">
        <v>45749</v>
      </c>
      <c r="C63" s="212">
        <f>YEAR(Plant_BD[[#This Row],[Date]])+IF(MONTH(Plant_BD[[#This Row],[Date]])&gt;=4,1,0)</f>
        <v>2026</v>
      </c>
      <c r="D63" s="212">
        <f>YEAR(Plant_BD[[#This Row],[Date]])</f>
        <v>2025</v>
      </c>
      <c r="E63" s="77" t="s">
        <v>1070</v>
      </c>
      <c r="F63" s="77" t="s">
        <v>1070</v>
      </c>
      <c r="G63" s="213">
        <f>Plant_BD[[#This Row],[Date]]-DAY(Plant_BD[[#This Row],[Date]])+1</f>
        <v>45748</v>
      </c>
      <c r="H63" s="3">
        <f>DAY(EOMONTH(Plant_BD[[#This Row],[Month Year]],0))</f>
        <v>30</v>
      </c>
      <c r="I63" s="214">
        <f>_xlfn.XLOOKUP(Plant_BD[[#This Row],[Date]],'Raw Data'!$G:$G,'Raw Data'!$I:$I)</f>
        <v>0.26319444444444445</v>
      </c>
      <c r="J63" s="214">
        <f>_xlfn.XLOOKUP(Plant_BD[[#This Row],[Date]],'Raw Data'!$G:$G,'Raw Data'!$J:$J)</f>
        <v>0.7729166666666667</v>
      </c>
      <c r="K63" s="215">
        <f>IFERROR((Plant_BD[[#This Row],[Sunset Time (POA&lt;20 W/m2)]]-Plant_BD[[#This Row],[Sunrise Time (POA&gt;20 W/m2)]])*24,"")</f>
        <v>12.233333333333333</v>
      </c>
      <c r="L63" s="215"/>
      <c r="M63" s="215"/>
      <c r="N63" s="215"/>
      <c r="O63" s="215"/>
      <c r="P63" s="215"/>
      <c r="Q63" s="215"/>
      <c r="R63" s="215"/>
      <c r="S63" s="215"/>
      <c r="T63" s="216" t="s">
        <v>168</v>
      </c>
      <c r="U63" s="16">
        <f>IFERROR(_xlfn.XLOOKUP(Plant_BD[[#This Row],[Affected Equipment]],'Basic Data'!$A:$A,'Basic Data'!$B:$B),"")</f>
        <v>2694.6</v>
      </c>
      <c r="V63" s="217">
        <f>IFERROR(_xlfn.XLOOKUP(Plant_BD[[#This Row],[Affected Equipment]],'Basic Data'!$A:$A,'Basic Data'!$C:$C),"")</f>
        <v>0.33594733758057077</v>
      </c>
      <c r="W63" s="218" t="s">
        <v>311</v>
      </c>
      <c r="X63" s="218" t="s">
        <v>1079</v>
      </c>
      <c r="Y63" s="218"/>
      <c r="Z63" s="219" t="s">
        <v>1079</v>
      </c>
      <c r="AA63" s="220">
        <v>0.69444444444444442</v>
      </c>
      <c r="AB63" s="220"/>
      <c r="AC63" s="220"/>
      <c r="AD63" s="220">
        <v>0.69652777777777775</v>
      </c>
      <c r="AE63" s="221">
        <f>IF(Plant_BD[[#This Row],[Acknowledgement Time ]]="NA","",(Plant_BD[[#This Row],[Acknowledgement Time ]]-Plant_BD[[#This Row],[Fault Time]])*24)</f>
        <v>-16.666666666666664</v>
      </c>
      <c r="AF63" s="221">
        <f>IF(Plant_BD[[#This Row],[Work Start time on Fault]]="NA","",(Plant_BD[[#This Row],[Work Start time on Fault]]-Plant_BD[[#This Row],[Fault Time]])*24)</f>
        <v>-16.666666666666664</v>
      </c>
      <c r="AG63" s="17">
        <f>(Plant_BD[[#This Row],[Work Completion time on fault]]-Plant_BD[[#This Row],[Fault Time]])*24</f>
        <v>4.9999999999999822E-2</v>
      </c>
      <c r="AH63" s="17">
        <f>IFERROR((Plant_BD[[#This Row],[Work Completion time on fault]]-Plant_BD[[#This Row],[Fault Time]])*24,"")</f>
        <v>4.9999999999999822E-2</v>
      </c>
      <c r="AI63" s="222" t="s">
        <v>1074</v>
      </c>
      <c r="AJ63" s="6" t="s">
        <v>1069</v>
      </c>
      <c r="AK63" s="223">
        <f>IFERROR(Plant_BD[[#This Row],[Breakdown Time]]*Plant_BD[[#This Row],[Plant Equivalent Weightage]],"")</f>
        <v>1.679736687902848E-2</v>
      </c>
      <c r="AL63" s="6">
        <v>0.02</v>
      </c>
      <c r="AM63" s="221">
        <f>_xlfn.XLOOKUP($G63,'Modelling New'!$D:$D,'Modelling New'!$O:$O)*Plant_BD[[#This Row],[Lost PoA(kWh/m2)]]*Plant_BD[[#This Row],[DC Capacity Affected (kW)]]</f>
        <v>36.39190636055563</v>
      </c>
      <c r="AN63" s="6"/>
      <c r="AO63" s="6"/>
      <c r="AP63" s="224"/>
    </row>
    <row r="64" spans="1:42" x14ac:dyDescent="0.3">
      <c r="A64" s="171">
        <f t="shared" si="0"/>
        <v>63</v>
      </c>
      <c r="B64" s="200">
        <v>45749</v>
      </c>
      <c r="C64" s="212">
        <f>YEAR(Plant_BD[[#This Row],[Date]])+IF(MONTH(Plant_BD[[#This Row],[Date]])&gt;=4,1,0)</f>
        <v>2026</v>
      </c>
      <c r="D64" s="212">
        <f>YEAR(Plant_BD[[#This Row],[Date]])</f>
        <v>2025</v>
      </c>
      <c r="E64" s="77" t="s">
        <v>1070</v>
      </c>
      <c r="F64" s="77" t="s">
        <v>1070</v>
      </c>
      <c r="G64" s="213">
        <f>Plant_BD[[#This Row],[Date]]-DAY(Plant_BD[[#This Row],[Date]])+1</f>
        <v>45748</v>
      </c>
      <c r="H64" s="3">
        <f>DAY(EOMONTH(Plant_BD[[#This Row],[Month Year]],0))</f>
        <v>30</v>
      </c>
      <c r="I64" s="214">
        <f>_xlfn.XLOOKUP(Plant_BD[[#This Row],[Date]],'Raw Data'!$G:$G,'Raw Data'!$I:$I)</f>
        <v>0.26319444444444445</v>
      </c>
      <c r="J64" s="214">
        <f>_xlfn.XLOOKUP(Plant_BD[[#This Row],[Date]],'Raw Data'!$G:$G,'Raw Data'!$J:$J)</f>
        <v>0.7729166666666667</v>
      </c>
      <c r="K64" s="215">
        <f>IFERROR((Plant_BD[[#This Row],[Sunset Time (POA&lt;20 W/m2)]]-Plant_BD[[#This Row],[Sunrise Time (POA&gt;20 W/m2)]])*24,"")</f>
        <v>12.233333333333333</v>
      </c>
      <c r="L64" s="215"/>
      <c r="M64" s="215"/>
      <c r="N64" s="215"/>
      <c r="O64" s="215"/>
      <c r="P64" s="215"/>
      <c r="Q64" s="215"/>
      <c r="R64" s="215"/>
      <c r="S64" s="215"/>
      <c r="T64" s="216" t="s">
        <v>219</v>
      </c>
      <c r="U64" s="16">
        <f>IFERROR(_xlfn.XLOOKUP(Plant_BD[[#This Row],[Affected Equipment]],'Basic Data'!$A:$A,'Basic Data'!$B:$B),"")</f>
        <v>669.6</v>
      </c>
      <c r="V64" s="217">
        <f>IFERROR(_xlfn.XLOOKUP(Plant_BD[[#This Row],[Affected Equipment]],'Basic Data'!$A:$A,'Basic Data'!$C:$C),"")</f>
        <v>8.348190352703562E-2</v>
      </c>
      <c r="W64" s="218" t="s">
        <v>311</v>
      </c>
      <c r="X64" s="218" t="s">
        <v>1076</v>
      </c>
      <c r="Y64" s="218"/>
      <c r="Z64" s="219" t="s">
        <v>1076</v>
      </c>
      <c r="AA64" s="220">
        <v>0.69652777777777775</v>
      </c>
      <c r="AB64" s="220"/>
      <c r="AC64" s="220"/>
      <c r="AD64" s="220">
        <v>0.7729166666666667</v>
      </c>
      <c r="AE64" s="221">
        <f>IF(Plant_BD[[#This Row],[Acknowledgement Time ]]="NA","",(Plant_BD[[#This Row],[Acknowledgement Time ]]-Plant_BD[[#This Row],[Fault Time]])*24)</f>
        <v>-16.716666666666665</v>
      </c>
      <c r="AF64" s="221">
        <f>IF(Plant_BD[[#This Row],[Work Start time on Fault]]="NA","",(Plant_BD[[#This Row],[Work Start time on Fault]]-Plant_BD[[#This Row],[Fault Time]])*24)</f>
        <v>-16.716666666666665</v>
      </c>
      <c r="AG64" s="17">
        <f>(Plant_BD[[#This Row],[Work Completion time on fault]]-Plant_BD[[#This Row],[Fault Time]])*24</f>
        <v>1.8333333333333348</v>
      </c>
      <c r="AH64" s="17">
        <f>IFERROR((Plant_BD[[#This Row],[Work Completion time on fault]]-Plant_BD[[#This Row],[Fault Time]])*24,"")</f>
        <v>1.8333333333333348</v>
      </c>
      <c r="AI64" s="222" t="s">
        <v>1072</v>
      </c>
      <c r="AJ64" s="6" t="s">
        <v>1068</v>
      </c>
      <c r="AK64" s="223">
        <f>IFERROR(Plant_BD[[#This Row],[Breakdown Time]]*Plant_BD[[#This Row],[Plant Equivalent Weightage]],"")</f>
        <v>0.1530501564662321</v>
      </c>
      <c r="AL64" s="6">
        <v>0.17</v>
      </c>
      <c r="AM64" s="221">
        <f>_xlfn.XLOOKUP($G64,'Modelling New'!$D:$D,'Modelling New'!$O:$O)*Plant_BD[[#This Row],[Lost PoA(kWh/m2)]]*Plant_BD[[#This Row],[DC Capacity Affected (kW)]]</f>
        <v>76.867874356764816</v>
      </c>
      <c r="AN64" s="6"/>
      <c r="AO64" s="6"/>
      <c r="AP64" s="224"/>
    </row>
    <row r="65" spans="1:42" x14ac:dyDescent="0.3">
      <c r="A65" s="171">
        <f t="shared" si="0"/>
        <v>64</v>
      </c>
      <c r="B65" s="200">
        <v>45750</v>
      </c>
      <c r="C65" s="212">
        <f>YEAR(Plant_BD[[#This Row],[Date]])+IF(MONTH(Plant_BD[[#This Row],[Date]])&gt;=4,1,0)</f>
        <v>2026</v>
      </c>
      <c r="D65" s="212">
        <f>YEAR(Plant_BD[[#This Row],[Date]])</f>
        <v>2025</v>
      </c>
      <c r="E65" s="77" t="s">
        <v>1070</v>
      </c>
      <c r="F65" s="77" t="s">
        <v>1070</v>
      </c>
      <c r="G65" s="213">
        <f>Plant_BD[[#This Row],[Date]]-DAY(Plant_BD[[#This Row],[Date]])+1</f>
        <v>45748</v>
      </c>
      <c r="H65" s="3">
        <f>DAY(EOMONTH(Plant_BD[[#This Row],[Month Year]],0))</f>
        <v>30</v>
      </c>
      <c r="I65" s="214">
        <f>_xlfn.XLOOKUP(Plant_BD[[#This Row],[Date]],'Raw Data'!$G:$G,'Raw Data'!$I:$I)</f>
        <v>0.26319444444444445</v>
      </c>
      <c r="J65" s="214">
        <f>_xlfn.XLOOKUP(Plant_BD[[#This Row],[Date]],'Raw Data'!$G:$G,'Raw Data'!$J:$J)</f>
        <v>0.74027777777777781</v>
      </c>
      <c r="K65" s="215">
        <f>IFERROR((Plant_BD[[#This Row],[Sunset Time (POA&lt;20 W/m2)]]-Plant_BD[[#This Row],[Sunrise Time (POA&gt;20 W/m2)]])*24,"")</f>
        <v>11.450000000000001</v>
      </c>
      <c r="L65" s="215"/>
      <c r="M65" s="215"/>
      <c r="N65" s="215"/>
      <c r="O65" s="215"/>
      <c r="P65" s="215"/>
      <c r="Q65" s="215"/>
      <c r="R65" s="215"/>
      <c r="S65" s="215"/>
      <c r="T65" s="216" t="s">
        <v>219</v>
      </c>
      <c r="U65" s="16">
        <f>IFERROR(_xlfn.XLOOKUP(Plant_BD[[#This Row],[Affected Equipment]],'Basic Data'!$A:$A,'Basic Data'!$B:$B),"")</f>
        <v>669.6</v>
      </c>
      <c r="V65" s="217">
        <f>IFERROR(_xlfn.XLOOKUP(Plant_BD[[#This Row],[Affected Equipment]],'Basic Data'!$A:$A,'Basic Data'!$C:$C),"")</f>
        <v>8.348190352703562E-2</v>
      </c>
      <c r="W65" s="218" t="s">
        <v>311</v>
      </c>
      <c r="X65" s="218" t="s">
        <v>1076</v>
      </c>
      <c r="Y65" s="218"/>
      <c r="Z65" s="219" t="s">
        <v>1076</v>
      </c>
      <c r="AA65" s="220">
        <v>0.26319444444444445</v>
      </c>
      <c r="AB65" s="220"/>
      <c r="AC65" s="220"/>
      <c r="AD65" s="220">
        <v>0.44791666666666669</v>
      </c>
      <c r="AE65" s="221">
        <f>IF(Plant_BD[[#This Row],[Acknowledgement Time ]]="NA","",(Plant_BD[[#This Row],[Acknowledgement Time ]]-Plant_BD[[#This Row],[Fault Time]])*24)</f>
        <v>-6.3166666666666664</v>
      </c>
      <c r="AF65" s="221">
        <f>IF(Plant_BD[[#This Row],[Work Start time on Fault]]="NA","",(Plant_BD[[#This Row],[Work Start time on Fault]]-Plant_BD[[#This Row],[Fault Time]])*24)</f>
        <v>-6.3166666666666664</v>
      </c>
      <c r="AG65" s="17">
        <f>(Plant_BD[[#This Row],[Work Completion time on fault]]-Plant_BD[[#This Row],[Fault Time]])*24</f>
        <v>4.4333333333333336</v>
      </c>
      <c r="AH65" s="17">
        <f>IFERROR((Plant_BD[[#This Row],[Work Completion time on fault]]-Plant_BD[[#This Row],[Fault Time]])*24,"")</f>
        <v>4.4333333333333336</v>
      </c>
      <c r="AI65" s="222" t="s">
        <v>1072</v>
      </c>
      <c r="AJ65" s="6" t="s">
        <v>1068</v>
      </c>
      <c r="AK65" s="223">
        <f>IFERROR(Plant_BD[[#This Row],[Breakdown Time]]*Plant_BD[[#This Row],[Plant Equivalent Weightage]],"")</f>
        <v>0.3701031056365246</v>
      </c>
      <c r="AL65" s="6">
        <v>1.29</v>
      </c>
      <c r="AM65" s="221">
        <f>_xlfn.XLOOKUP($G65,'Modelling New'!$D:$D,'Modelling New'!$O:$O)*Plant_BD[[#This Row],[Lost PoA(kWh/m2)]]*Plant_BD[[#This Row],[DC Capacity Affected (kW)]]</f>
        <v>583.2915171778036</v>
      </c>
      <c r="AN65" s="6"/>
      <c r="AO65" s="6"/>
      <c r="AP65" s="224"/>
    </row>
    <row r="66" spans="1:42" x14ac:dyDescent="0.3">
      <c r="A66" s="171">
        <f t="shared" si="0"/>
        <v>65</v>
      </c>
      <c r="B66" s="200">
        <v>45750</v>
      </c>
      <c r="C66" s="212">
        <f>YEAR(Plant_BD[[#This Row],[Date]])+IF(MONTH(Plant_BD[[#This Row],[Date]])&gt;=4,1,0)</f>
        <v>2026</v>
      </c>
      <c r="D66" s="212">
        <f>YEAR(Plant_BD[[#This Row],[Date]])</f>
        <v>2025</v>
      </c>
      <c r="E66" s="77" t="s">
        <v>1070</v>
      </c>
      <c r="F66" s="77" t="s">
        <v>1070</v>
      </c>
      <c r="G66" s="213">
        <f>Plant_BD[[#This Row],[Date]]-DAY(Plant_BD[[#This Row],[Date]])+1</f>
        <v>45748</v>
      </c>
      <c r="H66" s="3">
        <f>DAY(EOMONTH(Plant_BD[[#This Row],[Month Year]],0))</f>
        <v>30</v>
      </c>
      <c r="I66" s="214">
        <f>_xlfn.XLOOKUP(Plant_BD[[#This Row],[Date]],'Raw Data'!$G:$G,'Raw Data'!$I:$I)</f>
        <v>0.26319444444444445</v>
      </c>
      <c r="J66" s="214">
        <f>_xlfn.XLOOKUP(Plant_BD[[#This Row],[Date]],'Raw Data'!$G:$G,'Raw Data'!$J:$J)</f>
        <v>0.74027777777777781</v>
      </c>
      <c r="K66" s="215">
        <f>IFERROR((Plant_BD[[#This Row],[Sunset Time (POA&lt;20 W/m2)]]-Plant_BD[[#This Row],[Sunrise Time (POA&gt;20 W/m2)]])*24,"")</f>
        <v>11.450000000000001</v>
      </c>
      <c r="L66" s="215"/>
      <c r="M66" s="215"/>
      <c r="N66" s="215"/>
      <c r="O66" s="215"/>
      <c r="P66" s="215"/>
      <c r="Q66" s="215"/>
      <c r="R66" s="215"/>
      <c r="S66" s="215"/>
      <c r="T66" s="216" t="s">
        <v>226</v>
      </c>
      <c r="U66" s="16">
        <f>IFERROR(_xlfn.XLOOKUP(Plant_BD[[#This Row],[Affected Equipment]],'Basic Data'!$A:$A,'Basic Data'!$B:$B),"")</f>
        <v>658.8</v>
      </c>
      <c r="V66" s="217">
        <f>IFERROR(_xlfn.XLOOKUP(Plant_BD[[#This Row],[Affected Equipment]],'Basic Data'!$A:$A,'Basic Data'!$C:$C),"")</f>
        <v>8.2135421212083434E-2</v>
      </c>
      <c r="W66" s="218" t="s">
        <v>291</v>
      </c>
      <c r="X66" s="218" t="s">
        <v>1075</v>
      </c>
      <c r="Y66" s="218"/>
      <c r="Z66" s="219" t="s">
        <v>1075</v>
      </c>
      <c r="AA66" s="220">
        <v>0.26319444444444445</v>
      </c>
      <c r="AB66" s="220"/>
      <c r="AC66" s="220"/>
      <c r="AD66" s="220">
        <v>0.57152777777777775</v>
      </c>
      <c r="AE66" s="221">
        <f>IF(Plant_BD[[#This Row],[Acknowledgement Time ]]="NA","",(Plant_BD[[#This Row],[Acknowledgement Time ]]-Plant_BD[[#This Row],[Fault Time]])*24)</f>
        <v>-6.3166666666666664</v>
      </c>
      <c r="AF66" s="221">
        <f>IF(Plant_BD[[#This Row],[Work Start time on Fault]]="NA","",(Plant_BD[[#This Row],[Work Start time on Fault]]-Plant_BD[[#This Row],[Fault Time]])*24)</f>
        <v>-6.3166666666666664</v>
      </c>
      <c r="AG66" s="17">
        <f>(Plant_BD[[#This Row],[Work Completion time on fault]]-Plant_BD[[#This Row],[Fault Time]])*24</f>
        <v>7.3999999999999986</v>
      </c>
      <c r="AH66" s="17">
        <f>IFERROR((Plant_BD[[#This Row],[Work Completion time on fault]]-Plant_BD[[#This Row],[Fault Time]])*24,"")</f>
        <v>7.3999999999999986</v>
      </c>
      <c r="AI66" s="222" t="s">
        <v>1072</v>
      </c>
      <c r="AJ66" s="6" t="s">
        <v>1068</v>
      </c>
      <c r="AK66" s="223">
        <f>IFERROR(Plant_BD[[#This Row],[Breakdown Time]]*Plant_BD[[#This Row],[Plant Equivalent Weightage]],"")</f>
        <v>0.60780211696941733</v>
      </c>
      <c r="AL66" s="6">
        <v>3.1</v>
      </c>
      <c r="AM66" s="221">
        <f>_xlfn.XLOOKUP($G66,'Modelling New'!$D:$D,'Modelling New'!$O:$O)*Plant_BD[[#This Row],[Lost PoA(kWh/m2)]]*Plant_BD[[#This Row],[DC Capacity Affected (kW)]]</f>
        <v>1379.1000987537213</v>
      </c>
      <c r="AN66" s="6"/>
      <c r="AO66" s="6"/>
      <c r="AP66" s="224"/>
    </row>
    <row r="67" spans="1:42" x14ac:dyDescent="0.3">
      <c r="A67" s="171">
        <f t="shared" si="0"/>
        <v>66</v>
      </c>
      <c r="B67" s="200">
        <v>45750</v>
      </c>
      <c r="C67" s="212">
        <f>YEAR(Plant_BD[[#This Row],[Date]])+IF(MONTH(Plant_BD[[#This Row],[Date]])&gt;=4,1,0)</f>
        <v>2026</v>
      </c>
      <c r="D67" s="212">
        <f>YEAR(Plant_BD[[#This Row],[Date]])</f>
        <v>2025</v>
      </c>
      <c r="E67" s="77" t="s">
        <v>1070</v>
      </c>
      <c r="F67" s="77" t="s">
        <v>1070</v>
      </c>
      <c r="G67" s="213">
        <f>Plant_BD[[#This Row],[Date]]-DAY(Plant_BD[[#This Row],[Date]])+1</f>
        <v>45748</v>
      </c>
      <c r="H67" s="3">
        <f>DAY(EOMONTH(Plant_BD[[#This Row],[Month Year]],0))</f>
        <v>30</v>
      </c>
      <c r="I67" s="214">
        <f>_xlfn.XLOOKUP(Plant_BD[[#This Row],[Date]],'Raw Data'!$G:$G,'Raw Data'!$I:$I)</f>
        <v>0.26319444444444445</v>
      </c>
      <c r="J67" s="214">
        <f>_xlfn.XLOOKUP(Plant_BD[[#This Row],[Date]],'Raw Data'!$G:$G,'Raw Data'!$J:$J)</f>
        <v>0.74027777777777781</v>
      </c>
      <c r="K67" s="215">
        <f>IFERROR((Plant_BD[[#This Row],[Sunset Time (POA&lt;20 W/m2)]]-Plant_BD[[#This Row],[Sunrise Time (POA&gt;20 W/m2)]])*24,"")</f>
        <v>11.450000000000001</v>
      </c>
      <c r="L67" s="215"/>
      <c r="M67" s="215"/>
      <c r="N67" s="215"/>
      <c r="O67" s="215"/>
      <c r="P67" s="215"/>
      <c r="Q67" s="215"/>
      <c r="R67" s="215"/>
      <c r="S67" s="215"/>
      <c r="T67" s="216" t="s">
        <v>168</v>
      </c>
      <c r="U67" s="16">
        <f>IFERROR(_xlfn.XLOOKUP(Plant_BD[[#This Row],[Affected Equipment]],'Basic Data'!$A:$A,'Basic Data'!$B:$B),"")</f>
        <v>2694.6</v>
      </c>
      <c r="V67" s="217">
        <f>IFERROR(_xlfn.XLOOKUP(Plant_BD[[#This Row],[Affected Equipment]],'Basic Data'!$A:$A,'Basic Data'!$C:$C),"")</f>
        <v>0.33594733758057077</v>
      </c>
      <c r="W67" s="218" t="s">
        <v>311</v>
      </c>
      <c r="X67" s="218" t="s">
        <v>1077</v>
      </c>
      <c r="Y67" s="218"/>
      <c r="Z67" s="219" t="s">
        <v>1077</v>
      </c>
      <c r="AA67" s="220">
        <v>0.44791666666666669</v>
      </c>
      <c r="AB67" s="220"/>
      <c r="AC67" s="220"/>
      <c r="AD67" s="220">
        <v>0.45277777777777778</v>
      </c>
      <c r="AE67" s="221">
        <f>IF(Plant_BD[[#This Row],[Acknowledgement Time ]]="NA","",(Plant_BD[[#This Row],[Acknowledgement Time ]]-Plant_BD[[#This Row],[Fault Time]])*24)</f>
        <v>-10.75</v>
      </c>
      <c r="AF67" s="221">
        <f>IF(Plant_BD[[#This Row],[Work Start time on Fault]]="NA","",(Plant_BD[[#This Row],[Work Start time on Fault]]-Plant_BD[[#This Row],[Fault Time]])*24)</f>
        <v>-10.75</v>
      </c>
      <c r="AG67" s="17">
        <f>(Plant_BD[[#This Row],[Work Completion time on fault]]-Plant_BD[[#This Row],[Fault Time]])*24</f>
        <v>0.11666666666666625</v>
      </c>
      <c r="AH67" s="17">
        <f>IFERROR((Plant_BD[[#This Row],[Work Completion time on fault]]-Plant_BD[[#This Row],[Fault Time]])*24,"")</f>
        <v>0.11666666666666625</v>
      </c>
      <c r="AI67" s="222" t="s">
        <v>1074</v>
      </c>
      <c r="AJ67" s="6" t="s">
        <v>1069</v>
      </c>
      <c r="AK67" s="223">
        <f>IFERROR(Plant_BD[[#This Row],[Breakdown Time]]*Plant_BD[[#This Row],[Plant Equivalent Weightage]],"")</f>
        <v>3.9193856051066449E-2</v>
      </c>
      <c r="AL67" s="6">
        <v>0.14000000000000001</v>
      </c>
      <c r="AM67" s="221">
        <f>_xlfn.XLOOKUP($G67,'Modelling New'!$D:$D,'Modelling New'!$O:$O)*Plant_BD[[#This Row],[Lost PoA(kWh/m2)]]*Plant_BD[[#This Row],[DC Capacity Affected (kW)]]</f>
        <v>254.74334452388945</v>
      </c>
      <c r="AN67" s="6"/>
      <c r="AO67" s="6"/>
      <c r="AP67" s="224"/>
    </row>
    <row r="68" spans="1:42" x14ac:dyDescent="0.3">
      <c r="A68" s="171">
        <f t="shared" ref="A68:A131" si="1">A67+1</f>
        <v>67</v>
      </c>
      <c r="B68" s="200">
        <v>45750</v>
      </c>
      <c r="C68" s="212">
        <f>YEAR(Plant_BD[[#This Row],[Date]])+IF(MONTH(Plant_BD[[#This Row],[Date]])&gt;=4,1,0)</f>
        <v>2026</v>
      </c>
      <c r="D68" s="212">
        <f>YEAR(Plant_BD[[#This Row],[Date]])</f>
        <v>2025</v>
      </c>
      <c r="E68" s="77" t="s">
        <v>1070</v>
      </c>
      <c r="F68" s="77" t="s">
        <v>1070</v>
      </c>
      <c r="G68" s="213">
        <f>Plant_BD[[#This Row],[Date]]-DAY(Plant_BD[[#This Row],[Date]])+1</f>
        <v>45748</v>
      </c>
      <c r="H68" s="3">
        <f>DAY(EOMONTH(Plant_BD[[#This Row],[Month Year]],0))</f>
        <v>30</v>
      </c>
      <c r="I68" s="214">
        <f>_xlfn.XLOOKUP(Plant_BD[[#This Row],[Date]],'Raw Data'!$G:$G,'Raw Data'!$I:$I)</f>
        <v>0.26319444444444445</v>
      </c>
      <c r="J68" s="214">
        <f>_xlfn.XLOOKUP(Plant_BD[[#This Row],[Date]],'Raw Data'!$G:$G,'Raw Data'!$J:$J)</f>
        <v>0.74027777777777781</v>
      </c>
      <c r="K68" s="215">
        <f>IFERROR((Plant_BD[[#This Row],[Sunset Time (POA&lt;20 W/m2)]]-Plant_BD[[#This Row],[Sunrise Time (POA&gt;20 W/m2)]])*24,"")</f>
        <v>11.450000000000001</v>
      </c>
      <c r="L68" s="215"/>
      <c r="M68" s="215"/>
      <c r="N68" s="215"/>
      <c r="O68" s="215"/>
      <c r="P68" s="215"/>
      <c r="Q68" s="215"/>
      <c r="R68" s="215"/>
      <c r="S68" s="215"/>
      <c r="T68" s="216" t="s">
        <v>219</v>
      </c>
      <c r="U68" s="16">
        <f>IFERROR(_xlfn.XLOOKUP(Plant_BD[[#This Row],[Affected Equipment]],'Basic Data'!$A:$A,'Basic Data'!$B:$B),"")</f>
        <v>669.6</v>
      </c>
      <c r="V68" s="217">
        <f>IFERROR(_xlfn.XLOOKUP(Plant_BD[[#This Row],[Affected Equipment]],'Basic Data'!$A:$A,'Basic Data'!$C:$C),"")</f>
        <v>8.348190352703562E-2</v>
      </c>
      <c r="W68" s="218" t="s">
        <v>311</v>
      </c>
      <c r="X68" s="218" t="s">
        <v>1076</v>
      </c>
      <c r="Y68" s="218"/>
      <c r="Z68" s="219" t="s">
        <v>1076</v>
      </c>
      <c r="AA68" s="220">
        <v>0.45277777777777778</v>
      </c>
      <c r="AB68" s="220"/>
      <c r="AC68" s="220"/>
      <c r="AD68" s="220">
        <v>0.57152777777777775</v>
      </c>
      <c r="AE68" s="221">
        <f>IF(Plant_BD[[#This Row],[Acknowledgement Time ]]="NA","",(Plant_BD[[#This Row],[Acknowledgement Time ]]-Plant_BD[[#This Row],[Fault Time]])*24)</f>
        <v>-10.866666666666667</v>
      </c>
      <c r="AF68" s="221">
        <f>IF(Plant_BD[[#This Row],[Work Start time on Fault]]="NA","",(Plant_BD[[#This Row],[Work Start time on Fault]]-Plant_BD[[#This Row],[Fault Time]])*24)</f>
        <v>-10.866666666666667</v>
      </c>
      <c r="AG68" s="17">
        <f>(Plant_BD[[#This Row],[Work Completion time on fault]]-Plant_BD[[#This Row],[Fault Time]])*24</f>
        <v>2.8499999999999992</v>
      </c>
      <c r="AH68" s="17">
        <f>IFERROR((Plant_BD[[#This Row],[Work Completion time on fault]]-Plant_BD[[#This Row],[Fault Time]])*24,"")</f>
        <v>2.8499999999999992</v>
      </c>
      <c r="AI68" s="222" t="s">
        <v>1072</v>
      </c>
      <c r="AJ68" s="6" t="s">
        <v>1068</v>
      </c>
      <c r="AK68" s="223">
        <f>IFERROR(Plant_BD[[#This Row],[Breakdown Time]]*Plant_BD[[#This Row],[Plant Equivalent Weightage]],"")</f>
        <v>0.23792342505205144</v>
      </c>
      <c r="AL68" s="6">
        <v>1.72</v>
      </c>
      <c r="AM68" s="221">
        <f>_xlfn.XLOOKUP($G68,'Modelling New'!$D:$D,'Modelling New'!$O:$O)*Plant_BD[[#This Row],[Lost PoA(kWh/m2)]]*Plant_BD[[#This Row],[DC Capacity Affected (kW)]]</f>
        <v>777.72202290373798</v>
      </c>
      <c r="AN68" s="6"/>
      <c r="AO68" s="6"/>
      <c r="AP68" s="224"/>
    </row>
    <row r="69" spans="1:42" x14ac:dyDescent="0.3">
      <c r="A69" s="171">
        <f t="shared" si="1"/>
        <v>68</v>
      </c>
      <c r="B69" s="200">
        <v>45750</v>
      </c>
      <c r="C69" s="212">
        <f>YEAR(Plant_BD[[#This Row],[Date]])+IF(MONTH(Plant_BD[[#This Row],[Date]])&gt;=4,1,0)</f>
        <v>2026</v>
      </c>
      <c r="D69" s="212">
        <f>YEAR(Plant_BD[[#This Row],[Date]])</f>
        <v>2025</v>
      </c>
      <c r="E69" s="77" t="s">
        <v>1070</v>
      </c>
      <c r="F69" s="77" t="s">
        <v>1070</v>
      </c>
      <c r="G69" s="213">
        <f>Plant_BD[[#This Row],[Date]]-DAY(Plant_BD[[#This Row],[Date]])+1</f>
        <v>45748</v>
      </c>
      <c r="H69" s="3">
        <f>DAY(EOMONTH(Plant_BD[[#This Row],[Month Year]],0))</f>
        <v>30</v>
      </c>
      <c r="I69" s="214">
        <f>_xlfn.XLOOKUP(Plant_BD[[#This Row],[Date]],'Raw Data'!$G:$G,'Raw Data'!$I:$I)</f>
        <v>0.26319444444444445</v>
      </c>
      <c r="J69" s="214">
        <f>_xlfn.XLOOKUP(Plant_BD[[#This Row],[Date]],'Raw Data'!$G:$G,'Raw Data'!$J:$J)</f>
        <v>0.74027777777777781</v>
      </c>
      <c r="K69" s="215">
        <f>IFERROR((Plant_BD[[#This Row],[Sunset Time (POA&lt;20 W/m2)]]-Plant_BD[[#This Row],[Sunrise Time (POA&gt;20 W/m2)]])*24,"")</f>
        <v>11.450000000000001</v>
      </c>
      <c r="L69" s="215"/>
      <c r="M69" s="215"/>
      <c r="N69" s="215"/>
      <c r="O69" s="215"/>
      <c r="P69" s="215"/>
      <c r="Q69" s="215"/>
      <c r="R69" s="215"/>
      <c r="S69" s="215"/>
      <c r="T69" s="216" t="s">
        <v>220</v>
      </c>
      <c r="U69" s="16">
        <f>IFERROR(_xlfn.XLOOKUP(Plant_BD[[#This Row],[Affected Equipment]],'Basic Data'!$A:$A,'Basic Data'!$B:$B),"")</f>
        <v>669.6</v>
      </c>
      <c r="V69" s="217">
        <f>IFERROR(_xlfn.XLOOKUP(Plant_BD[[#This Row],[Affected Equipment]],'Basic Data'!$A:$A,'Basic Data'!$C:$C),"")</f>
        <v>8.348190352703562E-2</v>
      </c>
      <c r="W69" s="218" t="s">
        <v>311</v>
      </c>
      <c r="X69" s="218" t="s">
        <v>1078</v>
      </c>
      <c r="Y69" s="218"/>
      <c r="Z69" s="219" t="s">
        <v>1078</v>
      </c>
      <c r="AA69" s="220">
        <v>0.45277777777777778</v>
      </c>
      <c r="AB69" s="220"/>
      <c r="AC69" s="220"/>
      <c r="AD69" s="220">
        <v>0.57152777777777775</v>
      </c>
      <c r="AE69" s="221">
        <f>IF(Plant_BD[[#This Row],[Acknowledgement Time ]]="NA","",(Plant_BD[[#This Row],[Acknowledgement Time ]]-Plant_BD[[#This Row],[Fault Time]])*24)</f>
        <v>-10.866666666666667</v>
      </c>
      <c r="AF69" s="221">
        <f>IF(Plant_BD[[#This Row],[Work Start time on Fault]]="NA","",(Plant_BD[[#This Row],[Work Start time on Fault]]-Plant_BD[[#This Row],[Fault Time]])*24)</f>
        <v>-10.866666666666667</v>
      </c>
      <c r="AG69" s="17">
        <f>(Plant_BD[[#This Row],[Work Completion time on fault]]-Plant_BD[[#This Row],[Fault Time]])*24</f>
        <v>2.8499999999999992</v>
      </c>
      <c r="AH69" s="17">
        <f>IFERROR((Plant_BD[[#This Row],[Work Completion time on fault]]-Plant_BD[[#This Row],[Fault Time]])*24,"")</f>
        <v>2.8499999999999992</v>
      </c>
      <c r="AI69" s="222" t="s">
        <v>1078</v>
      </c>
      <c r="AJ69" s="6" t="s">
        <v>1068</v>
      </c>
      <c r="AK69" s="223">
        <f>IFERROR(Plant_BD[[#This Row],[Breakdown Time]]*Plant_BD[[#This Row],[Plant Equivalent Weightage]],"")</f>
        <v>0.23792342505205144</v>
      </c>
      <c r="AL69" s="6">
        <v>1.72</v>
      </c>
      <c r="AM69" s="221">
        <f>_xlfn.XLOOKUP($G69,'Modelling New'!$D:$D,'Modelling New'!$O:$O)*Plant_BD[[#This Row],[Lost PoA(kWh/m2)]]*Plant_BD[[#This Row],[DC Capacity Affected (kW)]]</f>
        <v>777.72202290373798</v>
      </c>
      <c r="AN69" s="6"/>
      <c r="AO69" s="6"/>
      <c r="AP69" s="224"/>
    </row>
    <row r="70" spans="1:42" x14ac:dyDescent="0.3">
      <c r="A70" s="171">
        <f t="shared" si="1"/>
        <v>69</v>
      </c>
      <c r="B70" s="200">
        <v>45750</v>
      </c>
      <c r="C70" s="212">
        <f>YEAR(Plant_BD[[#This Row],[Date]])+IF(MONTH(Plant_BD[[#This Row],[Date]])&gt;=4,1,0)</f>
        <v>2026</v>
      </c>
      <c r="D70" s="212">
        <f>YEAR(Plant_BD[[#This Row],[Date]])</f>
        <v>2025</v>
      </c>
      <c r="E70" s="77" t="s">
        <v>1070</v>
      </c>
      <c r="F70" s="77" t="s">
        <v>1070</v>
      </c>
      <c r="G70" s="213">
        <f>Plant_BD[[#This Row],[Date]]-DAY(Plant_BD[[#This Row],[Date]])+1</f>
        <v>45748</v>
      </c>
      <c r="H70" s="3">
        <f>DAY(EOMONTH(Plant_BD[[#This Row],[Month Year]],0))</f>
        <v>30</v>
      </c>
      <c r="I70" s="214">
        <f>_xlfn.XLOOKUP(Plant_BD[[#This Row],[Date]],'Raw Data'!$G:$G,'Raw Data'!$I:$I)</f>
        <v>0.26319444444444445</v>
      </c>
      <c r="J70" s="214">
        <f>_xlfn.XLOOKUP(Plant_BD[[#This Row],[Date]],'Raw Data'!$G:$G,'Raw Data'!$J:$J)</f>
        <v>0.74027777777777781</v>
      </c>
      <c r="K70" s="215">
        <f>IFERROR((Plant_BD[[#This Row],[Sunset Time (POA&lt;20 W/m2)]]-Plant_BD[[#This Row],[Sunrise Time (POA&gt;20 W/m2)]])*24,"")</f>
        <v>11.450000000000001</v>
      </c>
      <c r="L70" s="215"/>
      <c r="M70" s="215"/>
      <c r="N70" s="215"/>
      <c r="O70" s="215"/>
      <c r="P70" s="215"/>
      <c r="Q70" s="215"/>
      <c r="R70" s="215"/>
      <c r="S70" s="215"/>
      <c r="T70" s="216" t="s">
        <v>219</v>
      </c>
      <c r="U70" s="16">
        <f>IFERROR(_xlfn.XLOOKUP(Plant_BD[[#This Row],[Affected Equipment]],'Basic Data'!$A:$A,'Basic Data'!$B:$B),"")</f>
        <v>669.6</v>
      </c>
      <c r="V70" s="217">
        <f>IFERROR(_xlfn.XLOOKUP(Plant_BD[[#This Row],[Affected Equipment]],'Basic Data'!$A:$A,'Basic Data'!$C:$C),"")</f>
        <v>8.348190352703562E-2</v>
      </c>
      <c r="W70" s="218" t="s">
        <v>311</v>
      </c>
      <c r="X70" s="218" t="s">
        <v>1076</v>
      </c>
      <c r="Y70" s="218"/>
      <c r="Z70" s="219" t="s">
        <v>1076</v>
      </c>
      <c r="AA70" s="220">
        <v>0.69652777777777775</v>
      </c>
      <c r="AB70" s="220"/>
      <c r="AC70" s="220"/>
      <c r="AD70" s="220">
        <v>0.74027777777777781</v>
      </c>
      <c r="AE70" s="221">
        <f>IF(Plant_BD[[#This Row],[Acknowledgement Time ]]="NA","",(Plant_BD[[#This Row],[Acknowledgement Time ]]-Plant_BD[[#This Row],[Fault Time]])*24)</f>
        <v>-16.716666666666665</v>
      </c>
      <c r="AF70" s="221">
        <f>IF(Plant_BD[[#This Row],[Work Start time on Fault]]="NA","",(Plant_BD[[#This Row],[Work Start time on Fault]]-Plant_BD[[#This Row],[Fault Time]])*24)</f>
        <v>-16.716666666666665</v>
      </c>
      <c r="AG70" s="17">
        <f>(Plant_BD[[#This Row],[Work Completion time on fault]]-Plant_BD[[#This Row],[Fault Time]])*24</f>
        <v>1.0500000000000016</v>
      </c>
      <c r="AH70" s="17">
        <f>IFERROR((Plant_BD[[#This Row],[Work Completion time on fault]]-Plant_BD[[#This Row],[Fault Time]])*24,"")</f>
        <v>1.0500000000000016</v>
      </c>
      <c r="AI70" s="222" t="s">
        <v>1072</v>
      </c>
      <c r="AJ70" s="6" t="s">
        <v>1068</v>
      </c>
      <c r="AK70" s="223">
        <f>IFERROR(Plant_BD[[#This Row],[Breakdown Time]]*Plant_BD[[#This Row],[Plant Equivalent Weightage]],"")</f>
        <v>8.7655998703387528E-2</v>
      </c>
      <c r="AL70" s="6">
        <v>0.03</v>
      </c>
      <c r="AM70" s="221">
        <f>_xlfn.XLOOKUP($G70,'Modelling New'!$D:$D,'Modelling New'!$O:$O)*Plant_BD[[#This Row],[Lost PoA(kWh/m2)]]*Plant_BD[[#This Row],[DC Capacity Affected (kW)]]</f>
        <v>13.564919004134966</v>
      </c>
      <c r="AN70" s="6"/>
      <c r="AO70" s="6"/>
      <c r="AP70" s="224"/>
    </row>
    <row r="71" spans="1:42" x14ac:dyDescent="0.3">
      <c r="A71" s="171">
        <f t="shared" si="1"/>
        <v>70</v>
      </c>
      <c r="B71" s="200">
        <v>45750</v>
      </c>
      <c r="C71" s="212">
        <f>YEAR(Plant_BD[[#This Row],[Date]])+IF(MONTH(Plant_BD[[#This Row],[Date]])&gt;=4,1,0)</f>
        <v>2026</v>
      </c>
      <c r="D71" s="212">
        <f>YEAR(Plant_BD[[#This Row],[Date]])</f>
        <v>2025</v>
      </c>
      <c r="E71" s="77" t="s">
        <v>1070</v>
      </c>
      <c r="F71" s="77" t="s">
        <v>1070</v>
      </c>
      <c r="G71" s="213">
        <f>Plant_BD[[#This Row],[Date]]-DAY(Plant_BD[[#This Row],[Date]])+1</f>
        <v>45748</v>
      </c>
      <c r="H71" s="3">
        <f>DAY(EOMONTH(Plant_BD[[#This Row],[Month Year]],0))</f>
        <v>30</v>
      </c>
      <c r="I71" s="214">
        <f>_xlfn.XLOOKUP(Plant_BD[[#This Row],[Date]],'Raw Data'!$G:$G,'Raw Data'!$I:$I)</f>
        <v>0.26319444444444445</v>
      </c>
      <c r="J71" s="214">
        <f>_xlfn.XLOOKUP(Plant_BD[[#This Row],[Date]],'Raw Data'!$G:$G,'Raw Data'!$J:$J)</f>
        <v>0.74027777777777781</v>
      </c>
      <c r="K71" s="215">
        <f>IFERROR((Plant_BD[[#This Row],[Sunset Time (POA&lt;20 W/m2)]]-Plant_BD[[#This Row],[Sunrise Time (POA&gt;20 W/m2)]])*24,"")</f>
        <v>11.450000000000001</v>
      </c>
      <c r="L71" s="215"/>
      <c r="M71" s="215"/>
      <c r="N71" s="215"/>
      <c r="O71" s="215"/>
      <c r="P71" s="215"/>
      <c r="Q71" s="215"/>
      <c r="R71" s="215"/>
      <c r="S71" s="215"/>
      <c r="T71" s="216" t="s">
        <v>220</v>
      </c>
      <c r="U71" s="16">
        <f>IFERROR(_xlfn.XLOOKUP(Plant_BD[[#This Row],[Affected Equipment]],'Basic Data'!$A:$A,'Basic Data'!$B:$B),"")</f>
        <v>669.6</v>
      </c>
      <c r="V71" s="217">
        <f>IFERROR(_xlfn.XLOOKUP(Plant_BD[[#This Row],[Affected Equipment]],'Basic Data'!$A:$A,'Basic Data'!$C:$C),"")</f>
        <v>8.348190352703562E-2</v>
      </c>
      <c r="W71" s="218" t="s">
        <v>311</v>
      </c>
      <c r="X71" s="218" t="s">
        <v>1078</v>
      </c>
      <c r="Y71" s="218"/>
      <c r="Z71" s="219" t="s">
        <v>1078</v>
      </c>
      <c r="AA71" s="220">
        <v>0.69652777777777775</v>
      </c>
      <c r="AB71" s="220"/>
      <c r="AC71" s="220"/>
      <c r="AD71" s="220">
        <v>0.74027777777777781</v>
      </c>
      <c r="AE71" s="221">
        <f>IF(Plant_BD[[#This Row],[Acknowledgement Time ]]="NA","",(Plant_BD[[#This Row],[Acknowledgement Time ]]-Plant_BD[[#This Row],[Fault Time]])*24)</f>
        <v>-16.716666666666665</v>
      </c>
      <c r="AF71" s="221">
        <f>IF(Plant_BD[[#This Row],[Work Start time on Fault]]="NA","",(Plant_BD[[#This Row],[Work Start time on Fault]]-Plant_BD[[#This Row],[Fault Time]])*24)</f>
        <v>-16.716666666666665</v>
      </c>
      <c r="AG71" s="17">
        <f>(Plant_BD[[#This Row],[Work Completion time on fault]]-Plant_BD[[#This Row],[Fault Time]])*24</f>
        <v>1.0500000000000016</v>
      </c>
      <c r="AH71" s="17">
        <f>IFERROR((Plant_BD[[#This Row],[Work Completion time on fault]]-Plant_BD[[#This Row],[Fault Time]])*24,"")</f>
        <v>1.0500000000000016</v>
      </c>
      <c r="AI71" s="222" t="s">
        <v>1078</v>
      </c>
      <c r="AJ71" s="6"/>
      <c r="AK71" s="223">
        <f>IFERROR(Plant_BD[[#This Row],[Breakdown Time]]*Plant_BD[[#This Row],[Plant Equivalent Weightage]],"")</f>
        <v>8.7655998703387528E-2</v>
      </c>
      <c r="AL71" s="6">
        <v>0.03</v>
      </c>
      <c r="AM71" s="221">
        <f>_xlfn.XLOOKUP($G71,'Modelling New'!$D:$D,'Modelling New'!$O:$O)*Plant_BD[[#This Row],[Lost PoA(kWh/m2)]]*Plant_BD[[#This Row],[DC Capacity Affected (kW)]]</f>
        <v>13.564919004134966</v>
      </c>
      <c r="AN71" s="6"/>
      <c r="AO71" s="6"/>
      <c r="AP71" s="224"/>
    </row>
    <row r="72" spans="1:42" x14ac:dyDescent="0.3">
      <c r="A72" s="171">
        <f t="shared" si="1"/>
        <v>71</v>
      </c>
      <c r="B72" s="200">
        <v>45750</v>
      </c>
      <c r="C72" s="212">
        <f>YEAR(Plant_BD[[#This Row],[Date]])+IF(MONTH(Plant_BD[[#This Row],[Date]])&gt;=4,1,0)</f>
        <v>2026</v>
      </c>
      <c r="D72" s="212">
        <f>YEAR(Plant_BD[[#This Row],[Date]])</f>
        <v>2025</v>
      </c>
      <c r="E72" s="77" t="s">
        <v>1070</v>
      </c>
      <c r="F72" s="77" t="s">
        <v>1070</v>
      </c>
      <c r="G72" s="213">
        <f>Plant_BD[[#This Row],[Date]]-DAY(Plant_BD[[#This Row],[Date]])+1</f>
        <v>45748</v>
      </c>
      <c r="H72" s="3">
        <f>DAY(EOMONTH(Plant_BD[[#This Row],[Month Year]],0))</f>
        <v>30</v>
      </c>
      <c r="I72" s="214">
        <f>_xlfn.XLOOKUP(Plant_BD[[#This Row],[Date]],'Raw Data'!$G:$G,'Raw Data'!$I:$I)</f>
        <v>0.26319444444444445</v>
      </c>
      <c r="J72" s="214">
        <f>_xlfn.XLOOKUP(Plant_BD[[#This Row],[Date]],'Raw Data'!$G:$G,'Raw Data'!$J:$J)</f>
        <v>0.74027777777777781</v>
      </c>
      <c r="K72" s="215">
        <f>IFERROR((Plant_BD[[#This Row],[Sunset Time (POA&lt;20 W/m2)]]-Plant_BD[[#This Row],[Sunrise Time (POA&gt;20 W/m2)]])*24,"")</f>
        <v>11.450000000000001</v>
      </c>
      <c r="L72" s="215"/>
      <c r="M72" s="215"/>
      <c r="N72" s="215"/>
      <c r="O72" s="215"/>
      <c r="P72" s="215"/>
      <c r="Q72" s="215"/>
      <c r="R72" s="215"/>
      <c r="S72" s="215"/>
      <c r="T72" s="216" t="s">
        <v>226</v>
      </c>
      <c r="U72" s="16">
        <f>IFERROR(_xlfn.XLOOKUP(Plant_BD[[#This Row],[Affected Equipment]],'Basic Data'!$A:$A,'Basic Data'!$B:$B),"")</f>
        <v>658.8</v>
      </c>
      <c r="V72" s="217">
        <f>IFERROR(_xlfn.XLOOKUP(Plant_BD[[#This Row],[Affected Equipment]],'Basic Data'!$A:$A,'Basic Data'!$C:$C),"")</f>
        <v>8.2135421212083434E-2</v>
      </c>
      <c r="W72" s="218" t="s">
        <v>291</v>
      </c>
      <c r="X72" s="218" t="s">
        <v>1075</v>
      </c>
      <c r="Y72" s="218"/>
      <c r="Z72" s="219" t="s">
        <v>1075</v>
      </c>
      <c r="AA72" s="220">
        <v>0.69652777777777775</v>
      </c>
      <c r="AB72" s="220"/>
      <c r="AC72" s="220"/>
      <c r="AD72" s="220">
        <v>0.74027777777777781</v>
      </c>
      <c r="AE72" s="221">
        <f>IF(Plant_BD[[#This Row],[Acknowledgement Time ]]="NA","",(Plant_BD[[#This Row],[Acknowledgement Time ]]-Plant_BD[[#This Row],[Fault Time]])*24)</f>
        <v>-16.716666666666665</v>
      </c>
      <c r="AF72" s="221">
        <f>IF(Plant_BD[[#This Row],[Work Start time on Fault]]="NA","",(Plant_BD[[#This Row],[Work Start time on Fault]]-Plant_BD[[#This Row],[Fault Time]])*24)</f>
        <v>-16.716666666666665</v>
      </c>
      <c r="AG72" s="17">
        <f>(Plant_BD[[#This Row],[Work Completion time on fault]]-Plant_BD[[#This Row],[Fault Time]])*24</f>
        <v>1.0500000000000016</v>
      </c>
      <c r="AH72" s="17">
        <f>IFERROR((Plant_BD[[#This Row],[Work Completion time on fault]]-Plant_BD[[#This Row],[Fault Time]])*24,"")</f>
        <v>1.0500000000000016</v>
      </c>
      <c r="AI72" s="222" t="s">
        <v>1072</v>
      </c>
      <c r="AJ72" s="6" t="s">
        <v>1068</v>
      </c>
      <c r="AK72" s="223">
        <f>IFERROR(Plant_BD[[#This Row],[Breakdown Time]]*Plant_BD[[#This Row],[Plant Equivalent Weightage]],"")</f>
        <v>8.6242192272687743E-2</v>
      </c>
      <c r="AL72" s="6">
        <v>0.03</v>
      </c>
      <c r="AM72" s="221">
        <f>_xlfn.XLOOKUP($G72,'Modelling New'!$D:$D,'Modelling New'!$O:$O)*Plant_BD[[#This Row],[Lost PoA(kWh/m2)]]*Plant_BD[[#This Row],[DC Capacity Affected (kW)]]</f>
        <v>13.346129987939239</v>
      </c>
      <c r="AN72" s="6"/>
      <c r="AO72" s="6"/>
      <c r="AP72" s="224"/>
    </row>
    <row r="73" spans="1:42" x14ac:dyDescent="0.3">
      <c r="A73" s="171">
        <f t="shared" si="1"/>
        <v>72</v>
      </c>
      <c r="B73" s="200">
        <v>45751</v>
      </c>
      <c r="C73" s="212">
        <f>YEAR(Plant_BD[[#This Row],[Date]])+IF(MONTH(Plant_BD[[#This Row],[Date]])&gt;=4,1,0)</f>
        <v>2026</v>
      </c>
      <c r="D73" s="212">
        <f>YEAR(Plant_BD[[#This Row],[Date]])</f>
        <v>2025</v>
      </c>
      <c r="E73" s="77" t="s">
        <v>1070</v>
      </c>
      <c r="F73" s="77" t="s">
        <v>1070</v>
      </c>
      <c r="G73" s="213">
        <f>Plant_BD[[#This Row],[Date]]-DAY(Plant_BD[[#This Row],[Date]])+1</f>
        <v>45748</v>
      </c>
      <c r="H73" s="3">
        <f>DAY(EOMONTH(Plant_BD[[#This Row],[Month Year]],0))</f>
        <v>30</v>
      </c>
      <c r="I73" s="214">
        <f>_xlfn.XLOOKUP(Plant_BD[[#This Row],[Date]],'Raw Data'!$G:$G,'Raw Data'!$I:$I)</f>
        <v>0.25624999999999998</v>
      </c>
      <c r="J73" s="214">
        <f>_xlfn.XLOOKUP(Plant_BD[[#This Row],[Date]],'Raw Data'!$G:$G,'Raw Data'!$J:$J)</f>
        <v>0.77083333333333337</v>
      </c>
      <c r="K73" s="215">
        <f>IFERROR((Plant_BD[[#This Row],[Sunset Time (POA&lt;20 W/m2)]]-Plant_BD[[#This Row],[Sunrise Time (POA&gt;20 W/m2)]])*24,"")</f>
        <v>12.350000000000001</v>
      </c>
      <c r="L73" s="215"/>
      <c r="M73" s="215"/>
      <c r="N73" s="215"/>
      <c r="O73" s="215"/>
      <c r="P73" s="215"/>
      <c r="Q73" s="215"/>
      <c r="R73" s="215"/>
      <c r="S73" s="215"/>
      <c r="T73" s="216" t="s">
        <v>226</v>
      </c>
      <c r="U73" s="16">
        <f>IFERROR(_xlfn.XLOOKUP(Plant_BD[[#This Row],[Affected Equipment]],'Basic Data'!$A:$A,'Basic Data'!$B:$B),"")</f>
        <v>658.8</v>
      </c>
      <c r="V73" s="217">
        <f>IFERROR(_xlfn.XLOOKUP(Plant_BD[[#This Row],[Affected Equipment]],'Basic Data'!$A:$A,'Basic Data'!$C:$C),"")</f>
        <v>8.2135421212083434E-2</v>
      </c>
      <c r="W73" s="218" t="s">
        <v>291</v>
      </c>
      <c r="X73" s="218" t="s">
        <v>1075</v>
      </c>
      <c r="Y73" s="218"/>
      <c r="Z73" s="219" t="s">
        <v>1075</v>
      </c>
      <c r="AA73" s="220">
        <v>0.25624999999999998</v>
      </c>
      <c r="AB73" s="220"/>
      <c r="AC73" s="220"/>
      <c r="AD73" s="220">
        <v>0.77083333333333337</v>
      </c>
      <c r="AE73" s="221">
        <f>IF(Plant_BD[[#This Row],[Acknowledgement Time ]]="NA","",(Plant_BD[[#This Row],[Acknowledgement Time ]]-Plant_BD[[#This Row],[Fault Time]])*24)</f>
        <v>-6.1499999999999995</v>
      </c>
      <c r="AF73" s="221">
        <f>IF(Plant_BD[[#This Row],[Work Start time on Fault]]="NA","",(Plant_BD[[#This Row],[Work Start time on Fault]]-Plant_BD[[#This Row],[Fault Time]])*24)</f>
        <v>-6.1499999999999995</v>
      </c>
      <c r="AG73" s="17">
        <f>(Plant_BD[[#This Row],[Work Completion time on fault]]-Plant_BD[[#This Row],[Fault Time]])*24</f>
        <v>12.350000000000001</v>
      </c>
      <c r="AH73" s="17">
        <f>IFERROR((Plant_BD[[#This Row],[Work Completion time on fault]]-Plant_BD[[#This Row],[Fault Time]])*24,"")</f>
        <v>12.350000000000001</v>
      </c>
      <c r="AI73" s="222" t="s">
        <v>1072</v>
      </c>
      <c r="AJ73" s="6" t="s">
        <v>1068</v>
      </c>
      <c r="AK73" s="223">
        <f>IFERROR(Plant_BD[[#This Row],[Breakdown Time]]*Plant_BD[[#This Row],[Plant Equivalent Weightage]],"")</f>
        <v>1.0143724519692305</v>
      </c>
      <c r="AL73" s="6">
        <v>6.83</v>
      </c>
      <c r="AM73" s="221">
        <f>_xlfn.XLOOKUP($G73,'Modelling New'!$D:$D,'Modelling New'!$O:$O)*Plant_BD[[#This Row],[Lost PoA(kWh/m2)]]*Plant_BD[[#This Row],[DC Capacity Affected (kW)]]</f>
        <v>3038.4689272541668</v>
      </c>
      <c r="AN73" s="6"/>
      <c r="AO73" s="6"/>
      <c r="AP73" s="224"/>
    </row>
    <row r="74" spans="1:42" x14ac:dyDescent="0.3">
      <c r="A74" s="171">
        <f t="shared" si="1"/>
        <v>73</v>
      </c>
      <c r="B74" s="200">
        <v>45751</v>
      </c>
      <c r="C74" s="212">
        <f>YEAR(Plant_BD[[#This Row],[Date]])+IF(MONTH(Plant_BD[[#This Row],[Date]])&gt;=4,1,0)</f>
        <v>2026</v>
      </c>
      <c r="D74" s="212">
        <f>YEAR(Plant_BD[[#This Row],[Date]])</f>
        <v>2025</v>
      </c>
      <c r="E74" s="77" t="s">
        <v>1070</v>
      </c>
      <c r="F74" s="77" t="s">
        <v>1070</v>
      </c>
      <c r="G74" s="213">
        <f>Plant_BD[[#This Row],[Date]]-DAY(Plant_BD[[#This Row],[Date]])+1</f>
        <v>45748</v>
      </c>
      <c r="H74" s="3">
        <f>DAY(EOMONTH(Plant_BD[[#This Row],[Month Year]],0))</f>
        <v>30</v>
      </c>
      <c r="I74" s="214">
        <f>_xlfn.XLOOKUP(Plant_BD[[#This Row],[Date]],'Raw Data'!$G:$G,'Raw Data'!$I:$I)</f>
        <v>0.25624999999999998</v>
      </c>
      <c r="J74" s="214">
        <f>_xlfn.XLOOKUP(Plant_BD[[#This Row],[Date]],'Raw Data'!$G:$G,'Raw Data'!$J:$J)</f>
        <v>0.77083333333333337</v>
      </c>
      <c r="K74" s="215">
        <f>IFERROR((Plant_BD[[#This Row],[Sunset Time (POA&lt;20 W/m2)]]-Plant_BD[[#This Row],[Sunrise Time (POA&gt;20 W/m2)]])*24,"")</f>
        <v>12.350000000000001</v>
      </c>
      <c r="L74" s="215"/>
      <c r="M74" s="215"/>
      <c r="N74" s="215"/>
      <c r="O74" s="215"/>
      <c r="P74" s="215"/>
      <c r="Q74" s="215"/>
      <c r="R74" s="215"/>
      <c r="S74" s="215"/>
      <c r="T74" s="216" t="s">
        <v>168</v>
      </c>
      <c r="U74" s="16">
        <f>IFERROR(_xlfn.XLOOKUP(Plant_BD[[#This Row],[Affected Equipment]],'Basic Data'!$A:$A,'Basic Data'!$B:$B),"")</f>
        <v>2694.6</v>
      </c>
      <c r="V74" s="217">
        <f>IFERROR(_xlfn.XLOOKUP(Plant_BD[[#This Row],[Affected Equipment]],'Basic Data'!$A:$A,'Basic Data'!$C:$C),"")</f>
        <v>0.33594733758057077</v>
      </c>
      <c r="W74" s="218" t="s">
        <v>311</v>
      </c>
      <c r="X74" s="218" t="s">
        <v>1077</v>
      </c>
      <c r="Y74" s="218"/>
      <c r="Z74" s="219" t="s">
        <v>1077</v>
      </c>
      <c r="AA74" s="220">
        <v>0.38124999999999998</v>
      </c>
      <c r="AB74" s="220"/>
      <c r="AC74" s="220"/>
      <c r="AD74" s="220">
        <v>0.3840277777777778</v>
      </c>
      <c r="AE74" s="221">
        <f>IF(Plant_BD[[#This Row],[Acknowledgement Time ]]="NA","",(Plant_BD[[#This Row],[Acknowledgement Time ]]-Plant_BD[[#This Row],[Fault Time]])*24)</f>
        <v>-9.1499999999999986</v>
      </c>
      <c r="AF74" s="221">
        <f>IF(Plant_BD[[#This Row],[Work Start time on Fault]]="NA","",(Plant_BD[[#This Row],[Work Start time on Fault]]-Plant_BD[[#This Row],[Fault Time]])*24)</f>
        <v>-9.1499999999999986</v>
      </c>
      <c r="AG74" s="17">
        <f>(Plant_BD[[#This Row],[Work Completion time on fault]]-Plant_BD[[#This Row],[Fault Time]])*24</f>
        <v>6.6666666666667762E-2</v>
      </c>
      <c r="AH74" s="17">
        <f>IFERROR((Plant_BD[[#This Row],[Work Completion time on fault]]-Plant_BD[[#This Row],[Fault Time]])*24,"")</f>
        <v>6.6666666666667762E-2</v>
      </c>
      <c r="AI74" s="222" t="s">
        <v>1074</v>
      </c>
      <c r="AJ74" s="6" t="s">
        <v>1069</v>
      </c>
      <c r="AK74" s="223">
        <f>IFERROR(Plant_BD[[#This Row],[Breakdown Time]]*Plant_BD[[#This Row],[Plant Equivalent Weightage]],"")</f>
        <v>2.239648917203842E-2</v>
      </c>
      <c r="AL74" s="6">
        <v>0.04</v>
      </c>
      <c r="AM74" s="221">
        <f>_xlfn.XLOOKUP($G74,'Modelling New'!$D:$D,'Modelling New'!$O:$O)*Plant_BD[[#This Row],[Lost PoA(kWh/m2)]]*Plant_BD[[#This Row],[DC Capacity Affected (kW)]]</f>
        <v>72.783812721111261</v>
      </c>
      <c r="AN74" s="6"/>
      <c r="AO74" s="6"/>
      <c r="AP74" s="224"/>
    </row>
    <row r="75" spans="1:42" x14ac:dyDescent="0.3">
      <c r="A75" s="171">
        <f t="shared" si="1"/>
        <v>74</v>
      </c>
      <c r="B75" s="200">
        <v>45751</v>
      </c>
      <c r="C75" s="212">
        <f>YEAR(Plant_BD[[#This Row],[Date]])+IF(MONTH(Plant_BD[[#This Row],[Date]])&gt;=4,1,0)</f>
        <v>2026</v>
      </c>
      <c r="D75" s="212">
        <f>YEAR(Plant_BD[[#This Row],[Date]])</f>
        <v>2025</v>
      </c>
      <c r="E75" s="77" t="s">
        <v>1070</v>
      </c>
      <c r="F75" s="77" t="s">
        <v>1070</v>
      </c>
      <c r="G75" s="213">
        <f>Plant_BD[[#This Row],[Date]]-DAY(Plant_BD[[#This Row],[Date]])+1</f>
        <v>45748</v>
      </c>
      <c r="H75" s="3">
        <f>DAY(EOMONTH(Plant_BD[[#This Row],[Month Year]],0))</f>
        <v>30</v>
      </c>
      <c r="I75" s="214">
        <f>_xlfn.XLOOKUP(Plant_BD[[#This Row],[Date]],'Raw Data'!$G:$G,'Raw Data'!$I:$I)</f>
        <v>0.25624999999999998</v>
      </c>
      <c r="J75" s="214">
        <f>_xlfn.XLOOKUP(Plant_BD[[#This Row],[Date]],'Raw Data'!$G:$G,'Raw Data'!$J:$J)</f>
        <v>0.77083333333333337</v>
      </c>
      <c r="K75" s="215">
        <f>IFERROR((Plant_BD[[#This Row],[Sunset Time (POA&lt;20 W/m2)]]-Plant_BD[[#This Row],[Sunrise Time (POA&gt;20 W/m2)]])*24,"")</f>
        <v>12.350000000000001</v>
      </c>
      <c r="L75" s="215"/>
      <c r="M75" s="215"/>
      <c r="N75" s="215"/>
      <c r="O75" s="215"/>
      <c r="P75" s="215"/>
      <c r="Q75" s="215"/>
      <c r="R75" s="215"/>
      <c r="S75" s="215"/>
      <c r="T75" s="216" t="s">
        <v>219</v>
      </c>
      <c r="U75" s="16">
        <f>IFERROR(_xlfn.XLOOKUP(Plant_BD[[#This Row],[Affected Equipment]],'Basic Data'!$A:$A,'Basic Data'!$B:$B),"")</f>
        <v>669.6</v>
      </c>
      <c r="V75" s="217">
        <f>IFERROR(_xlfn.XLOOKUP(Plant_BD[[#This Row],[Affected Equipment]],'Basic Data'!$A:$A,'Basic Data'!$C:$C),"")</f>
        <v>8.348190352703562E-2</v>
      </c>
      <c r="W75" s="218" t="s">
        <v>311</v>
      </c>
      <c r="X75" s="218" t="s">
        <v>1076</v>
      </c>
      <c r="Y75" s="218"/>
      <c r="Z75" s="219" t="s">
        <v>1076</v>
      </c>
      <c r="AA75" s="220">
        <v>0.3840277777777778</v>
      </c>
      <c r="AB75" s="220"/>
      <c r="AC75" s="220"/>
      <c r="AD75" s="220">
        <v>0.41666666666666669</v>
      </c>
      <c r="AE75" s="221">
        <f>IF(Plant_BD[[#This Row],[Acknowledgement Time ]]="NA","",(Plant_BD[[#This Row],[Acknowledgement Time ]]-Plant_BD[[#This Row],[Fault Time]])*24)</f>
        <v>-9.2166666666666668</v>
      </c>
      <c r="AF75" s="221">
        <f>IF(Plant_BD[[#This Row],[Work Start time on Fault]]="NA","",(Plant_BD[[#This Row],[Work Start time on Fault]]-Plant_BD[[#This Row],[Fault Time]])*24)</f>
        <v>-9.2166666666666668</v>
      </c>
      <c r="AG75" s="17">
        <f>(Plant_BD[[#This Row],[Work Completion time on fault]]-Plant_BD[[#This Row],[Fault Time]])*24</f>
        <v>0.78333333333333321</v>
      </c>
      <c r="AH75" s="17">
        <f>IFERROR((Plant_BD[[#This Row],[Work Completion time on fault]]-Plant_BD[[#This Row],[Fault Time]])*24,"")</f>
        <v>0.78333333333333321</v>
      </c>
      <c r="AI75" s="222" t="s">
        <v>1072</v>
      </c>
      <c r="AJ75" s="6" t="s">
        <v>1068</v>
      </c>
      <c r="AK75" s="223">
        <f>IFERROR(Plant_BD[[#This Row],[Breakdown Time]]*Plant_BD[[#This Row],[Plant Equivalent Weightage]],"")</f>
        <v>6.539415776284456E-2</v>
      </c>
      <c r="AL75" s="6">
        <v>0.55000000000000004</v>
      </c>
      <c r="AM75" s="221">
        <f>_xlfn.XLOOKUP($G75,'Modelling New'!$D:$D,'Modelling New'!$O:$O)*Plant_BD[[#This Row],[Lost PoA(kWh/m2)]]*Plant_BD[[#This Row],[DC Capacity Affected (kW)]]</f>
        <v>248.69018174247438</v>
      </c>
      <c r="AN75" s="6"/>
      <c r="AO75" s="6"/>
      <c r="AP75" s="224"/>
    </row>
    <row r="76" spans="1:42" x14ac:dyDescent="0.3">
      <c r="A76" s="171">
        <f t="shared" si="1"/>
        <v>75</v>
      </c>
      <c r="B76" s="200">
        <v>45751</v>
      </c>
      <c r="C76" s="212">
        <f>YEAR(Plant_BD[[#This Row],[Date]])+IF(MONTH(Plant_BD[[#This Row],[Date]])&gt;=4,1,0)</f>
        <v>2026</v>
      </c>
      <c r="D76" s="212">
        <f>YEAR(Plant_BD[[#This Row],[Date]])</f>
        <v>2025</v>
      </c>
      <c r="E76" s="77" t="s">
        <v>1070</v>
      </c>
      <c r="F76" s="77" t="s">
        <v>1070</v>
      </c>
      <c r="G76" s="213">
        <f>Plant_BD[[#This Row],[Date]]-DAY(Plant_BD[[#This Row],[Date]])+1</f>
        <v>45748</v>
      </c>
      <c r="H76" s="3">
        <f>DAY(EOMONTH(Plant_BD[[#This Row],[Month Year]],0))</f>
        <v>30</v>
      </c>
      <c r="I76" s="214">
        <f>_xlfn.XLOOKUP(Plant_BD[[#This Row],[Date]],'Raw Data'!$G:$G,'Raw Data'!$I:$I)</f>
        <v>0.25624999999999998</v>
      </c>
      <c r="J76" s="214">
        <f>_xlfn.XLOOKUP(Plant_BD[[#This Row],[Date]],'Raw Data'!$G:$G,'Raw Data'!$J:$J)</f>
        <v>0.77083333333333337</v>
      </c>
      <c r="K76" s="215">
        <f>IFERROR((Plant_BD[[#This Row],[Sunset Time (POA&lt;20 W/m2)]]-Plant_BD[[#This Row],[Sunrise Time (POA&gt;20 W/m2)]])*24,"")</f>
        <v>12.350000000000001</v>
      </c>
      <c r="L76" s="215"/>
      <c r="M76" s="215"/>
      <c r="N76" s="215"/>
      <c r="O76" s="215"/>
      <c r="P76" s="215"/>
      <c r="Q76" s="215"/>
      <c r="R76" s="215"/>
      <c r="S76" s="215"/>
      <c r="T76" s="216" t="s">
        <v>168</v>
      </c>
      <c r="U76" s="16">
        <f>IFERROR(_xlfn.XLOOKUP(Plant_BD[[#This Row],[Affected Equipment]],'Basic Data'!$A:$A,'Basic Data'!$B:$B),"")</f>
        <v>2694.6</v>
      </c>
      <c r="V76" s="217">
        <f>IFERROR(_xlfn.XLOOKUP(Plant_BD[[#This Row],[Affected Equipment]],'Basic Data'!$A:$A,'Basic Data'!$C:$C),"")</f>
        <v>0.33594733758057077</v>
      </c>
      <c r="W76" s="218" t="s">
        <v>311</v>
      </c>
      <c r="X76" s="218" t="s">
        <v>1077</v>
      </c>
      <c r="Y76" s="218"/>
      <c r="Z76" s="219" t="s">
        <v>1077</v>
      </c>
      <c r="AA76" s="220">
        <v>0.41666666666666669</v>
      </c>
      <c r="AB76" s="220"/>
      <c r="AC76" s="220"/>
      <c r="AD76" s="220">
        <v>0.4236111111111111</v>
      </c>
      <c r="AE76" s="221">
        <f>IF(Plant_BD[[#This Row],[Acknowledgement Time ]]="NA","",(Plant_BD[[#This Row],[Acknowledgement Time ]]-Plant_BD[[#This Row],[Fault Time]])*24)</f>
        <v>-10</v>
      </c>
      <c r="AF76" s="221">
        <f>IF(Plant_BD[[#This Row],[Work Start time on Fault]]="NA","",(Plant_BD[[#This Row],[Work Start time on Fault]]-Plant_BD[[#This Row],[Fault Time]])*24)</f>
        <v>-10</v>
      </c>
      <c r="AG76" s="17">
        <f>(Plant_BD[[#This Row],[Work Completion time on fault]]-Plant_BD[[#This Row],[Fault Time]])*24</f>
        <v>0.16666666666666607</v>
      </c>
      <c r="AH76" s="17">
        <f>IFERROR((Plant_BD[[#This Row],[Work Completion time on fault]]-Plant_BD[[#This Row],[Fault Time]])*24,"")</f>
        <v>0.16666666666666607</v>
      </c>
      <c r="AI76" s="222" t="s">
        <v>1072</v>
      </c>
      <c r="AJ76" s="6" t="s">
        <v>1068</v>
      </c>
      <c r="AK76" s="223">
        <f>IFERROR(Plant_BD[[#This Row],[Breakdown Time]]*Plant_BD[[#This Row],[Plant Equivalent Weightage]],"")</f>
        <v>5.5991222930094932E-2</v>
      </c>
      <c r="AL76" s="6">
        <v>0.14000000000000001</v>
      </c>
      <c r="AM76" s="221">
        <f>_xlfn.XLOOKUP($G76,'Modelling New'!$D:$D,'Modelling New'!$O:$O)*Plant_BD[[#This Row],[Lost PoA(kWh/m2)]]*Plant_BD[[#This Row],[DC Capacity Affected (kW)]]</f>
        <v>254.74334452388945</v>
      </c>
      <c r="AN76" s="6"/>
      <c r="AO76" s="6"/>
      <c r="AP76" s="224"/>
    </row>
    <row r="77" spans="1:42" x14ac:dyDescent="0.3">
      <c r="A77" s="171">
        <f t="shared" si="1"/>
        <v>76</v>
      </c>
      <c r="B77" s="200">
        <v>45751</v>
      </c>
      <c r="C77" s="212">
        <f>YEAR(Plant_BD[[#This Row],[Date]])+IF(MONTH(Plant_BD[[#This Row],[Date]])&gt;=4,1,0)</f>
        <v>2026</v>
      </c>
      <c r="D77" s="212">
        <f>YEAR(Plant_BD[[#This Row],[Date]])</f>
        <v>2025</v>
      </c>
      <c r="E77" s="77" t="s">
        <v>1070</v>
      </c>
      <c r="F77" s="77" t="s">
        <v>1070</v>
      </c>
      <c r="G77" s="213">
        <f>Plant_BD[[#This Row],[Date]]-DAY(Plant_BD[[#This Row],[Date]])+1</f>
        <v>45748</v>
      </c>
      <c r="H77" s="3">
        <f>DAY(EOMONTH(Plant_BD[[#This Row],[Month Year]],0))</f>
        <v>30</v>
      </c>
      <c r="I77" s="214">
        <f>_xlfn.XLOOKUP(Plant_BD[[#This Row],[Date]],'Raw Data'!$G:$G,'Raw Data'!$I:$I)</f>
        <v>0.25624999999999998</v>
      </c>
      <c r="J77" s="214">
        <f>_xlfn.XLOOKUP(Plant_BD[[#This Row],[Date]],'Raw Data'!$G:$G,'Raw Data'!$J:$J)</f>
        <v>0.77083333333333337</v>
      </c>
      <c r="K77" s="215">
        <f>IFERROR((Plant_BD[[#This Row],[Sunset Time (POA&lt;20 W/m2)]]-Plant_BD[[#This Row],[Sunrise Time (POA&gt;20 W/m2)]])*24,"")</f>
        <v>12.350000000000001</v>
      </c>
      <c r="L77" s="215"/>
      <c r="M77" s="215"/>
      <c r="N77" s="215"/>
      <c r="O77" s="215"/>
      <c r="P77" s="215"/>
      <c r="Q77" s="215"/>
      <c r="R77" s="215"/>
      <c r="S77" s="215"/>
      <c r="T77" s="216" t="s">
        <v>219</v>
      </c>
      <c r="U77" s="16">
        <f>IFERROR(_xlfn.XLOOKUP(Plant_BD[[#This Row],[Affected Equipment]],'Basic Data'!$A:$A,'Basic Data'!$B:$B),"")</f>
        <v>669.6</v>
      </c>
      <c r="V77" s="217">
        <f>IFERROR(_xlfn.XLOOKUP(Plant_BD[[#This Row],[Affected Equipment]],'Basic Data'!$A:$A,'Basic Data'!$C:$C),"")</f>
        <v>8.348190352703562E-2</v>
      </c>
      <c r="W77" s="218" t="s">
        <v>311</v>
      </c>
      <c r="X77" s="218" t="s">
        <v>1076</v>
      </c>
      <c r="Y77" s="218"/>
      <c r="Z77" s="219" t="s">
        <v>1076</v>
      </c>
      <c r="AA77" s="220">
        <v>0.4236111111111111</v>
      </c>
      <c r="AB77" s="220"/>
      <c r="AC77" s="220"/>
      <c r="AD77" s="220">
        <v>0.43402777777777779</v>
      </c>
      <c r="AE77" s="221">
        <f>IF(Plant_BD[[#This Row],[Acknowledgement Time ]]="NA","",(Plant_BD[[#This Row],[Acknowledgement Time ]]-Plant_BD[[#This Row],[Fault Time]])*24)</f>
        <v>-10.166666666666666</v>
      </c>
      <c r="AF77" s="221">
        <f>IF(Plant_BD[[#This Row],[Work Start time on Fault]]="NA","",(Plant_BD[[#This Row],[Work Start time on Fault]]-Plant_BD[[#This Row],[Fault Time]])*24)</f>
        <v>-10.166666666666666</v>
      </c>
      <c r="AG77" s="17">
        <f>(Plant_BD[[#This Row],[Work Completion time on fault]]-Plant_BD[[#This Row],[Fault Time]])*24</f>
        <v>0.25000000000000044</v>
      </c>
      <c r="AH77" s="17">
        <f>IFERROR((Plant_BD[[#This Row],[Work Completion time on fault]]-Plant_BD[[#This Row],[Fault Time]])*24,"")</f>
        <v>0.25000000000000044</v>
      </c>
      <c r="AI77" s="222" t="s">
        <v>1072</v>
      </c>
      <c r="AJ77" s="6" t="s">
        <v>1068</v>
      </c>
      <c r="AK77" s="223">
        <f>IFERROR(Plant_BD[[#This Row],[Breakdown Time]]*Plant_BD[[#This Row],[Plant Equivalent Weightage]],"")</f>
        <v>2.0870475881758943E-2</v>
      </c>
      <c r="AL77" s="6">
        <v>0.22</v>
      </c>
      <c r="AM77" s="221">
        <f>_xlfn.XLOOKUP($G77,'Modelling New'!$D:$D,'Modelling New'!$O:$O)*Plant_BD[[#This Row],[Lost PoA(kWh/m2)]]*Plant_BD[[#This Row],[DC Capacity Affected (kW)]]</f>
        <v>99.47607269698976</v>
      </c>
      <c r="AN77" s="6"/>
      <c r="AO77" s="6"/>
      <c r="AP77" s="224"/>
    </row>
    <row r="78" spans="1:42" x14ac:dyDescent="0.3">
      <c r="A78" s="171">
        <f t="shared" si="1"/>
        <v>77</v>
      </c>
      <c r="B78" s="200">
        <v>45751</v>
      </c>
      <c r="C78" s="212">
        <f>YEAR(Plant_BD[[#This Row],[Date]])+IF(MONTH(Plant_BD[[#This Row],[Date]])&gt;=4,1,0)</f>
        <v>2026</v>
      </c>
      <c r="D78" s="212">
        <f>YEAR(Plant_BD[[#This Row],[Date]])</f>
        <v>2025</v>
      </c>
      <c r="E78" s="77" t="s">
        <v>1070</v>
      </c>
      <c r="F78" s="77" t="s">
        <v>1070</v>
      </c>
      <c r="G78" s="213">
        <f>Plant_BD[[#This Row],[Date]]-DAY(Plant_BD[[#This Row],[Date]])+1</f>
        <v>45748</v>
      </c>
      <c r="H78" s="3">
        <f>DAY(EOMONTH(Plant_BD[[#This Row],[Month Year]],0))</f>
        <v>30</v>
      </c>
      <c r="I78" s="214">
        <f>_xlfn.XLOOKUP(Plant_BD[[#This Row],[Date]],'Raw Data'!$G:$G,'Raw Data'!$I:$I)</f>
        <v>0.25624999999999998</v>
      </c>
      <c r="J78" s="214">
        <f>_xlfn.XLOOKUP(Plant_BD[[#This Row],[Date]],'Raw Data'!$G:$G,'Raw Data'!$J:$J)</f>
        <v>0.77083333333333337</v>
      </c>
      <c r="K78" s="215">
        <f>IFERROR((Plant_BD[[#This Row],[Sunset Time (POA&lt;20 W/m2)]]-Plant_BD[[#This Row],[Sunrise Time (POA&gt;20 W/m2)]])*24,"")</f>
        <v>12.350000000000001</v>
      </c>
      <c r="L78" s="215"/>
      <c r="M78" s="215"/>
      <c r="N78" s="215"/>
      <c r="O78" s="215"/>
      <c r="P78" s="215"/>
      <c r="Q78" s="215"/>
      <c r="R78" s="215"/>
      <c r="S78" s="215"/>
      <c r="T78" s="216" t="s">
        <v>168</v>
      </c>
      <c r="U78" s="16">
        <f>IFERROR(_xlfn.XLOOKUP(Plant_BD[[#This Row],[Affected Equipment]],'Basic Data'!$A:$A,'Basic Data'!$B:$B),"")</f>
        <v>2694.6</v>
      </c>
      <c r="V78" s="217">
        <f>IFERROR(_xlfn.XLOOKUP(Plant_BD[[#This Row],[Affected Equipment]],'Basic Data'!$A:$A,'Basic Data'!$C:$C),"")</f>
        <v>0.33594733758057077</v>
      </c>
      <c r="W78" s="218" t="s">
        <v>311</v>
      </c>
      <c r="X78" s="218" t="s">
        <v>1077</v>
      </c>
      <c r="Y78" s="218"/>
      <c r="Z78" s="219" t="s">
        <v>1077</v>
      </c>
      <c r="AA78" s="220">
        <v>0.43402777777777779</v>
      </c>
      <c r="AB78" s="220"/>
      <c r="AC78" s="220"/>
      <c r="AD78" s="220">
        <v>0.4375</v>
      </c>
      <c r="AE78" s="221">
        <f>IF(Plant_BD[[#This Row],[Acknowledgement Time ]]="NA","",(Plant_BD[[#This Row],[Acknowledgement Time ]]-Plant_BD[[#This Row],[Fault Time]])*24)</f>
        <v>-10.416666666666668</v>
      </c>
      <c r="AF78" s="221">
        <f>IF(Plant_BD[[#This Row],[Work Start time on Fault]]="NA","",(Plant_BD[[#This Row],[Work Start time on Fault]]-Plant_BD[[#This Row],[Fault Time]])*24)</f>
        <v>-10.416666666666668</v>
      </c>
      <c r="AG78" s="17">
        <f>(Plant_BD[[#This Row],[Work Completion time on fault]]-Plant_BD[[#This Row],[Fault Time]])*24</f>
        <v>8.3333333333333037E-2</v>
      </c>
      <c r="AH78" s="17">
        <f>IFERROR((Plant_BD[[#This Row],[Work Completion time on fault]]-Plant_BD[[#This Row],[Fault Time]])*24,"")</f>
        <v>8.3333333333333037E-2</v>
      </c>
      <c r="AI78" s="222" t="s">
        <v>1074</v>
      </c>
      <c r="AJ78" s="6" t="s">
        <v>1069</v>
      </c>
      <c r="AK78" s="223">
        <f>IFERROR(Plant_BD[[#This Row],[Breakdown Time]]*Plant_BD[[#This Row],[Plant Equivalent Weightage]],"")</f>
        <v>2.7995611465047466E-2</v>
      </c>
      <c r="AL78" s="6">
        <v>0.08</v>
      </c>
      <c r="AM78" s="221">
        <f>_xlfn.XLOOKUP($G78,'Modelling New'!$D:$D,'Modelling New'!$O:$O)*Plant_BD[[#This Row],[Lost PoA(kWh/m2)]]*Plant_BD[[#This Row],[DC Capacity Affected (kW)]]</f>
        <v>145.56762544222252</v>
      </c>
      <c r="AN78" s="6"/>
      <c r="AO78" s="6"/>
      <c r="AP78" s="224"/>
    </row>
    <row r="79" spans="1:42" x14ac:dyDescent="0.3">
      <c r="A79" s="171">
        <f t="shared" si="1"/>
        <v>78</v>
      </c>
      <c r="B79" s="200">
        <v>45751</v>
      </c>
      <c r="C79" s="212">
        <f>YEAR(Plant_BD[[#This Row],[Date]])+IF(MONTH(Plant_BD[[#This Row],[Date]])&gt;=4,1,0)</f>
        <v>2026</v>
      </c>
      <c r="D79" s="212">
        <f>YEAR(Plant_BD[[#This Row],[Date]])</f>
        <v>2025</v>
      </c>
      <c r="E79" s="77" t="s">
        <v>1070</v>
      </c>
      <c r="F79" s="77" t="s">
        <v>1070</v>
      </c>
      <c r="G79" s="213">
        <f>Plant_BD[[#This Row],[Date]]-DAY(Plant_BD[[#This Row],[Date]])+1</f>
        <v>45748</v>
      </c>
      <c r="H79" s="3">
        <f>DAY(EOMONTH(Plant_BD[[#This Row],[Month Year]],0))</f>
        <v>30</v>
      </c>
      <c r="I79" s="214">
        <f>_xlfn.XLOOKUP(Plant_BD[[#This Row],[Date]],'Raw Data'!$G:$G,'Raw Data'!$I:$I)</f>
        <v>0.25624999999999998</v>
      </c>
      <c r="J79" s="214">
        <f>_xlfn.XLOOKUP(Plant_BD[[#This Row],[Date]],'Raw Data'!$G:$G,'Raw Data'!$J:$J)</f>
        <v>0.77083333333333337</v>
      </c>
      <c r="K79" s="215">
        <f>IFERROR((Plant_BD[[#This Row],[Sunset Time (POA&lt;20 W/m2)]]-Plant_BD[[#This Row],[Sunrise Time (POA&gt;20 W/m2)]])*24,"")</f>
        <v>12.350000000000001</v>
      </c>
      <c r="L79" s="215"/>
      <c r="M79" s="215"/>
      <c r="N79" s="215"/>
      <c r="O79" s="215"/>
      <c r="P79" s="215"/>
      <c r="Q79" s="215"/>
      <c r="R79" s="215"/>
      <c r="S79" s="215"/>
      <c r="T79" s="216" t="s">
        <v>219</v>
      </c>
      <c r="U79" s="16">
        <f>IFERROR(_xlfn.XLOOKUP(Plant_BD[[#This Row],[Affected Equipment]],'Basic Data'!$A:$A,'Basic Data'!$B:$B),"")</f>
        <v>669.6</v>
      </c>
      <c r="V79" s="217">
        <f>IFERROR(_xlfn.XLOOKUP(Plant_BD[[#This Row],[Affected Equipment]],'Basic Data'!$A:$A,'Basic Data'!$C:$C),"")</f>
        <v>8.348190352703562E-2</v>
      </c>
      <c r="W79" s="218" t="s">
        <v>311</v>
      </c>
      <c r="X79" s="218" t="s">
        <v>1076</v>
      </c>
      <c r="Y79" s="218"/>
      <c r="Z79" s="219" t="s">
        <v>1076</v>
      </c>
      <c r="AA79" s="220">
        <v>0.4375</v>
      </c>
      <c r="AB79" s="220"/>
      <c r="AC79" s="220"/>
      <c r="AD79" s="220">
        <v>0.44444444444444442</v>
      </c>
      <c r="AE79" s="221">
        <f>IF(Plant_BD[[#This Row],[Acknowledgement Time ]]="NA","",(Plant_BD[[#This Row],[Acknowledgement Time ]]-Plant_BD[[#This Row],[Fault Time]])*24)</f>
        <v>-10.5</v>
      </c>
      <c r="AF79" s="221">
        <f>IF(Plant_BD[[#This Row],[Work Start time on Fault]]="NA","",(Plant_BD[[#This Row],[Work Start time on Fault]]-Plant_BD[[#This Row],[Fault Time]])*24)</f>
        <v>-10.5</v>
      </c>
      <c r="AG79" s="17">
        <f>(Plant_BD[[#This Row],[Work Completion time on fault]]-Plant_BD[[#This Row],[Fault Time]])*24</f>
        <v>0.16666666666666607</v>
      </c>
      <c r="AH79" s="17">
        <f>IFERROR((Plant_BD[[#This Row],[Work Completion time on fault]]-Plant_BD[[#This Row],[Fault Time]])*24,"")</f>
        <v>0.16666666666666607</v>
      </c>
      <c r="AI79" s="222" t="s">
        <v>1072</v>
      </c>
      <c r="AJ79" s="6" t="s">
        <v>1068</v>
      </c>
      <c r="AK79" s="223">
        <f>IFERROR(Plant_BD[[#This Row],[Breakdown Time]]*Plant_BD[[#This Row],[Plant Equivalent Weightage]],"")</f>
        <v>1.3913650587839221E-2</v>
      </c>
      <c r="AL79" s="6">
        <v>0.14000000000000001</v>
      </c>
      <c r="AM79" s="221">
        <f>_xlfn.XLOOKUP($G79,'Modelling New'!$D:$D,'Modelling New'!$O:$O)*Plant_BD[[#This Row],[Lost PoA(kWh/m2)]]*Plant_BD[[#This Row],[DC Capacity Affected (kW)]]</f>
        <v>63.302955352629844</v>
      </c>
      <c r="AN79" s="6"/>
      <c r="AO79" s="6"/>
      <c r="AP79" s="224"/>
    </row>
    <row r="80" spans="1:42" x14ac:dyDescent="0.3">
      <c r="A80" s="171">
        <f t="shared" si="1"/>
        <v>79</v>
      </c>
      <c r="B80" s="200">
        <v>45751</v>
      </c>
      <c r="C80" s="212">
        <f>YEAR(Plant_BD[[#This Row],[Date]])+IF(MONTH(Plant_BD[[#This Row],[Date]])&gt;=4,1,0)</f>
        <v>2026</v>
      </c>
      <c r="D80" s="212">
        <f>YEAR(Plant_BD[[#This Row],[Date]])</f>
        <v>2025</v>
      </c>
      <c r="E80" s="77" t="s">
        <v>1070</v>
      </c>
      <c r="F80" s="77" t="s">
        <v>1070</v>
      </c>
      <c r="G80" s="213">
        <f>Plant_BD[[#This Row],[Date]]-DAY(Plant_BD[[#This Row],[Date]])+1</f>
        <v>45748</v>
      </c>
      <c r="H80" s="3">
        <f>DAY(EOMONTH(Plant_BD[[#This Row],[Month Year]],0))</f>
        <v>30</v>
      </c>
      <c r="I80" s="214">
        <f>_xlfn.XLOOKUP(Plant_BD[[#This Row],[Date]],'Raw Data'!$G:$G,'Raw Data'!$I:$I)</f>
        <v>0.25624999999999998</v>
      </c>
      <c r="J80" s="214">
        <f>_xlfn.XLOOKUP(Plant_BD[[#This Row],[Date]],'Raw Data'!$G:$G,'Raw Data'!$J:$J)</f>
        <v>0.77083333333333337</v>
      </c>
      <c r="K80" s="215">
        <f>IFERROR((Plant_BD[[#This Row],[Sunset Time (POA&lt;20 W/m2)]]-Plant_BD[[#This Row],[Sunrise Time (POA&gt;20 W/m2)]])*24,"")</f>
        <v>12.350000000000001</v>
      </c>
      <c r="L80" s="215"/>
      <c r="M80" s="215"/>
      <c r="N80" s="215"/>
      <c r="O80" s="215"/>
      <c r="P80" s="215"/>
      <c r="Q80" s="215"/>
      <c r="R80" s="215"/>
      <c r="S80" s="215"/>
      <c r="T80" s="216" t="s">
        <v>168</v>
      </c>
      <c r="U80" s="16">
        <f>IFERROR(_xlfn.XLOOKUP(Plant_BD[[#This Row],[Affected Equipment]],'Basic Data'!$A:$A,'Basic Data'!$B:$B),"")</f>
        <v>2694.6</v>
      </c>
      <c r="V80" s="217">
        <f>IFERROR(_xlfn.XLOOKUP(Plant_BD[[#This Row],[Affected Equipment]],'Basic Data'!$A:$A,'Basic Data'!$C:$C),"")</f>
        <v>0.33594733758057077</v>
      </c>
      <c r="W80" s="218" t="s">
        <v>311</v>
      </c>
      <c r="X80" s="218" t="s">
        <v>1077</v>
      </c>
      <c r="Y80" s="218"/>
      <c r="Z80" s="219" t="s">
        <v>1077</v>
      </c>
      <c r="AA80" s="220">
        <v>0.44444444444444442</v>
      </c>
      <c r="AB80" s="220"/>
      <c r="AC80" s="220"/>
      <c r="AD80" s="220">
        <v>0.4465277777777778</v>
      </c>
      <c r="AE80" s="221">
        <f>IF(Plant_BD[[#This Row],[Acknowledgement Time ]]="NA","",(Plant_BD[[#This Row],[Acknowledgement Time ]]-Plant_BD[[#This Row],[Fault Time]])*24)</f>
        <v>-10.666666666666666</v>
      </c>
      <c r="AF80" s="221">
        <f>IF(Plant_BD[[#This Row],[Work Start time on Fault]]="NA","",(Plant_BD[[#This Row],[Work Start time on Fault]]-Plant_BD[[#This Row],[Fault Time]])*24)</f>
        <v>-10.666666666666666</v>
      </c>
      <c r="AG80" s="17">
        <f>(Plant_BD[[#This Row],[Work Completion time on fault]]-Plant_BD[[#This Row],[Fault Time]])*24</f>
        <v>5.0000000000001155E-2</v>
      </c>
      <c r="AH80" s="17">
        <f>IFERROR((Plant_BD[[#This Row],[Work Completion time on fault]]-Plant_BD[[#This Row],[Fault Time]])*24,"")</f>
        <v>5.0000000000001155E-2</v>
      </c>
      <c r="AI80" s="222" t="s">
        <v>1074</v>
      </c>
      <c r="AJ80" s="6" t="s">
        <v>1069</v>
      </c>
      <c r="AK80" s="223">
        <f>IFERROR(Plant_BD[[#This Row],[Breakdown Time]]*Plant_BD[[#This Row],[Plant Equivalent Weightage]],"")</f>
        <v>1.6797366879028927E-2</v>
      </c>
      <c r="AL80" s="6">
        <v>0.05</v>
      </c>
      <c r="AM80" s="221">
        <f>_xlfn.XLOOKUP($G80,'Modelling New'!$D:$D,'Modelling New'!$O:$O)*Plant_BD[[#This Row],[Lost PoA(kWh/m2)]]*Plant_BD[[#This Row],[DC Capacity Affected (kW)]]</f>
        <v>90.979765901389086</v>
      </c>
      <c r="AN80" s="6"/>
      <c r="AO80" s="6"/>
      <c r="AP80" s="224"/>
    </row>
    <row r="81" spans="1:42" x14ac:dyDescent="0.3">
      <c r="A81" s="171">
        <f t="shared" si="1"/>
        <v>80</v>
      </c>
      <c r="B81" s="200">
        <v>45751</v>
      </c>
      <c r="C81" s="212">
        <f>YEAR(Plant_BD[[#This Row],[Date]])+IF(MONTH(Plant_BD[[#This Row],[Date]])&gt;=4,1,0)</f>
        <v>2026</v>
      </c>
      <c r="D81" s="212">
        <f>YEAR(Plant_BD[[#This Row],[Date]])</f>
        <v>2025</v>
      </c>
      <c r="E81" s="77" t="s">
        <v>1070</v>
      </c>
      <c r="F81" s="77" t="s">
        <v>1070</v>
      </c>
      <c r="G81" s="213">
        <f>Plant_BD[[#This Row],[Date]]-DAY(Plant_BD[[#This Row],[Date]])+1</f>
        <v>45748</v>
      </c>
      <c r="H81" s="3">
        <f>DAY(EOMONTH(Plant_BD[[#This Row],[Month Year]],0))</f>
        <v>30</v>
      </c>
      <c r="I81" s="214">
        <f>_xlfn.XLOOKUP(Plant_BD[[#This Row],[Date]],'Raw Data'!$G:$G,'Raw Data'!$I:$I)</f>
        <v>0.25624999999999998</v>
      </c>
      <c r="J81" s="214">
        <f>_xlfn.XLOOKUP(Plant_BD[[#This Row],[Date]],'Raw Data'!$G:$G,'Raw Data'!$J:$J)</f>
        <v>0.77083333333333337</v>
      </c>
      <c r="K81" s="215">
        <f>IFERROR((Plant_BD[[#This Row],[Sunset Time (POA&lt;20 W/m2)]]-Plant_BD[[#This Row],[Sunrise Time (POA&gt;20 W/m2)]])*24,"")</f>
        <v>12.350000000000001</v>
      </c>
      <c r="L81" s="215"/>
      <c r="M81" s="215"/>
      <c r="N81" s="215"/>
      <c r="O81" s="215"/>
      <c r="P81" s="215"/>
      <c r="Q81" s="215"/>
      <c r="R81" s="215"/>
      <c r="S81" s="215"/>
      <c r="T81" s="216" t="s">
        <v>168</v>
      </c>
      <c r="U81" s="16">
        <f>IFERROR(_xlfn.XLOOKUP(Plant_BD[[#This Row],[Affected Equipment]],'Basic Data'!$A:$A,'Basic Data'!$B:$B),"")</f>
        <v>2694.6</v>
      </c>
      <c r="V81" s="217">
        <f>IFERROR(_xlfn.XLOOKUP(Plant_BD[[#This Row],[Affected Equipment]],'Basic Data'!$A:$A,'Basic Data'!$C:$C),"")</f>
        <v>0.33594733758057077</v>
      </c>
      <c r="W81" s="218" t="s">
        <v>311</v>
      </c>
      <c r="X81" s="218" t="s">
        <v>1077</v>
      </c>
      <c r="Y81" s="218"/>
      <c r="Z81" s="219" t="s">
        <v>1077</v>
      </c>
      <c r="AA81" s="220">
        <v>0.44722222222222224</v>
      </c>
      <c r="AB81" s="220"/>
      <c r="AC81" s="220"/>
      <c r="AD81" s="220">
        <v>0.46527777777777779</v>
      </c>
      <c r="AE81" s="221">
        <f>IF(Plant_BD[[#This Row],[Acknowledgement Time ]]="NA","",(Plant_BD[[#This Row],[Acknowledgement Time ]]-Plant_BD[[#This Row],[Fault Time]])*24)</f>
        <v>-10.733333333333334</v>
      </c>
      <c r="AF81" s="221">
        <f>IF(Plant_BD[[#This Row],[Work Start time on Fault]]="NA","",(Plant_BD[[#This Row],[Work Start time on Fault]]-Plant_BD[[#This Row],[Fault Time]])*24)</f>
        <v>-10.733333333333334</v>
      </c>
      <c r="AG81" s="17">
        <f>(Plant_BD[[#This Row],[Work Completion time on fault]]-Plant_BD[[#This Row],[Fault Time]])*24</f>
        <v>0.43333333333333313</v>
      </c>
      <c r="AH81" s="17">
        <f>IFERROR((Plant_BD[[#This Row],[Work Completion time on fault]]-Plant_BD[[#This Row],[Fault Time]])*24,"")</f>
        <v>0.43333333333333313</v>
      </c>
      <c r="AI81" s="222" t="s">
        <v>1074</v>
      </c>
      <c r="AJ81" s="6" t="s">
        <v>1069</v>
      </c>
      <c r="AK81" s="223">
        <f>IFERROR(Plant_BD[[#This Row],[Breakdown Time]]*Plant_BD[[#This Row],[Plant Equivalent Weightage]],"")</f>
        <v>0.14557717961824726</v>
      </c>
      <c r="AL81" s="6">
        <v>0.43</v>
      </c>
      <c r="AM81" s="221">
        <f>_xlfn.XLOOKUP($G81,'Modelling New'!$D:$D,'Modelling New'!$O:$O)*Plant_BD[[#This Row],[Lost PoA(kWh/m2)]]*Plant_BD[[#This Row],[DC Capacity Affected (kW)]]</f>
        <v>782.42598675194608</v>
      </c>
      <c r="AN81" s="6"/>
      <c r="AO81" s="6"/>
      <c r="AP81" s="224"/>
    </row>
    <row r="82" spans="1:42" x14ac:dyDescent="0.3">
      <c r="A82" s="171">
        <f t="shared" si="1"/>
        <v>81</v>
      </c>
      <c r="B82" s="200">
        <v>45751</v>
      </c>
      <c r="C82" s="212">
        <f>YEAR(Plant_BD[[#This Row],[Date]])+IF(MONTH(Plant_BD[[#This Row],[Date]])&gt;=4,1,0)</f>
        <v>2026</v>
      </c>
      <c r="D82" s="212">
        <f>YEAR(Plant_BD[[#This Row],[Date]])</f>
        <v>2025</v>
      </c>
      <c r="E82" s="77" t="s">
        <v>1070</v>
      </c>
      <c r="F82" s="77" t="s">
        <v>1070</v>
      </c>
      <c r="G82" s="213">
        <f>Plant_BD[[#This Row],[Date]]-DAY(Plant_BD[[#This Row],[Date]])+1</f>
        <v>45748</v>
      </c>
      <c r="H82" s="3">
        <f>DAY(EOMONTH(Plant_BD[[#This Row],[Month Year]],0))</f>
        <v>30</v>
      </c>
      <c r="I82" s="214">
        <f>_xlfn.XLOOKUP(Plant_BD[[#This Row],[Date]],'Raw Data'!$G:$G,'Raw Data'!$I:$I)</f>
        <v>0.25624999999999998</v>
      </c>
      <c r="J82" s="214">
        <f>_xlfn.XLOOKUP(Plant_BD[[#This Row],[Date]],'Raw Data'!$G:$G,'Raw Data'!$J:$J)</f>
        <v>0.77083333333333337</v>
      </c>
      <c r="K82" s="215">
        <f>IFERROR((Plant_BD[[#This Row],[Sunset Time (POA&lt;20 W/m2)]]-Plant_BD[[#This Row],[Sunrise Time (POA&gt;20 W/m2)]])*24,"")</f>
        <v>12.350000000000001</v>
      </c>
      <c r="L82" s="215"/>
      <c r="M82" s="215"/>
      <c r="N82" s="215"/>
      <c r="O82" s="215"/>
      <c r="P82" s="215"/>
      <c r="Q82" s="215"/>
      <c r="R82" s="215"/>
      <c r="S82" s="215"/>
      <c r="T82" s="216" t="s">
        <v>219</v>
      </c>
      <c r="U82" s="16">
        <f>IFERROR(_xlfn.XLOOKUP(Plant_BD[[#This Row],[Affected Equipment]],'Basic Data'!$A:$A,'Basic Data'!$B:$B),"")</f>
        <v>669.6</v>
      </c>
      <c r="V82" s="217">
        <f>IFERROR(_xlfn.XLOOKUP(Plant_BD[[#This Row],[Affected Equipment]],'Basic Data'!$A:$A,'Basic Data'!$C:$C),"")</f>
        <v>8.348190352703562E-2</v>
      </c>
      <c r="W82" s="218" t="s">
        <v>311</v>
      </c>
      <c r="X82" s="218" t="s">
        <v>1076</v>
      </c>
      <c r="Y82" s="218"/>
      <c r="Z82" s="219" t="s">
        <v>1076</v>
      </c>
      <c r="AA82" s="220">
        <v>0.46527777777777779</v>
      </c>
      <c r="AB82" s="220"/>
      <c r="AC82" s="220"/>
      <c r="AD82" s="220">
        <v>0.46875</v>
      </c>
      <c r="AE82" s="221">
        <f>IF(Plant_BD[[#This Row],[Acknowledgement Time ]]="NA","",(Plant_BD[[#This Row],[Acknowledgement Time ]]-Plant_BD[[#This Row],[Fault Time]])*24)</f>
        <v>-11.166666666666668</v>
      </c>
      <c r="AF82" s="221">
        <f>IF(Plant_BD[[#This Row],[Work Start time on Fault]]="NA","",(Plant_BD[[#This Row],[Work Start time on Fault]]-Plant_BD[[#This Row],[Fault Time]])*24)</f>
        <v>-11.166666666666668</v>
      </c>
      <c r="AG82" s="17">
        <f>(Plant_BD[[#This Row],[Work Completion time on fault]]-Plant_BD[[#This Row],[Fault Time]])*24</f>
        <v>8.3333333333333037E-2</v>
      </c>
      <c r="AH82" s="17">
        <f>IFERROR((Plant_BD[[#This Row],[Work Completion time on fault]]-Plant_BD[[#This Row],[Fault Time]])*24,"")</f>
        <v>8.3333333333333037E-2</v>
      </c>
      <c r="AI82" s="222" t="s">
        <v>1072</v>
      </c>
      <c r="AJ82" s="6" t="s">
        <v>1068</v>
      </c>
      <c r="AK82" s="223">
        <f>IFERROR(Plant_BD[[#This Row],[Breakdown Time]]*Plant_BD[[#This Row],[Plant Equivalent Weightage]],"")</f>
        <v>6.9568252939196107E-3</v>
      </c>
      <c r="AL82" s="6">
        <v>0.09</v>
      </c>
      <c r="AM82" s="221">
        <f>_xlfn.XLOOKUP($G82,'Modelling New'!$D:$D,'Modelling New'!$O:$O)*Plant_BD[[#This Row],[Lost PoA(kWh/m2)]]*Plant_BD[[#This Row],[DC Capacity Affected (kW)]]</f>
        <v>40.694757012404892</v>
      </c>
      <c r="AN82" s="6"/>
      <c r="AO82" s="6"/>
      <c r="AP82" s="224"/>
    </row>
    <row r="83" spans="1:42" x14ac:dyDescent="0.3">
      <c r="A83" s="171">
        <f t="shared" si="1"/>
        <v>82</v>
      </c>
      <c r="B83" s="200">
        <v>45751</v>
      </c>
      <c r="C83" s="212">
        <f>YEAR(Plant_BD[[#This Row],[Date]])+IF(MONTH(Plant_BD[[#This Row],[Date]])&gt;=4,1,0)</f>
        <v>2026</v>
      </c>
      <c r="D83" s="212">
        <f>YEAR(Plant_BD[[#This Row],[Date]])</f>
        <v>2025</v>
      </c>
      <c r="E83" s="77" t="s">
        <v>1070</v>
      </c>
      <c r="F83" s="77" t="s">
        <v>1070</v>
      </c>
      <c r="G83" s="213">
        <f>Plant_BD[[#This Row],[Date]]-DAY(Plant_BD[[#This Row],[Date]])+1</f>
        <v>45748</v>
      </c>
      <c r="H83" s="3">
        <f>DAY(EOMONTH(Plant_BD[[#This Row],[Month Year]],0))</f>
        <v>30</v>
      </c>
      <c r="I83" s="214">
        <f>_xlfn.XLOOKUP(Plant_BD[[#This Row],[Date]],'Raw Data'!$G:$G,'Raw Data'!$I:$I)</f>
        <v>0.25624999999999998</v>
      </c>
      <c r="J83" s="214">
        <f>_xlfn.XLOOKUP(Plant_BD[[#This Row],[Date]],'Raw Data'!$G:$G,'Raw Data'!$J:$J)</f>
        <v>0.77083333333333337</v>
      </c>
      <c r="K83" s="215">
        <f>IFERROR((Plant_BD[[#This Row],[Sunset Time (POA&lt;20 W/m2)]]-Plant_BD[[#This Row],[Sunrise Time (POA&gt;20 W/m2)]])*24,"")</f>
        <v>12.350000000000001</v>
      </c>
      <c r="L83" s="215"/>
      <c r="M83" s="215"/>
      <c r="N83" s="215"/>
      <c r="O83" s="215"/>
      <c r="P83" s="215"/>
      <c r="Q83" s="215"/>
      <c r="R83" s="215"/>
      <c r="S83" s="215"/>
      <c r="T83" s="216" t="s">
        <v>168</v>
      </c>
      <c r="U83" s="16">
        <f>IFERROR(_xlfn.XLOOKUP(Plant_BD[[#This Row],[Affected Equipment]],'Basic Data'!$A:$A,'Basic Data'!$B:$B),"")</f>
        <v>2694.6</v>
      </c>
      <c r="V83" s="217">
        <f>IFERROR(_xlfn.XLOOKUP(Plant_BD[[#This Row],[Affected Equipment]],'Basic Data'!$A:$A,'Basic Data'!$C:$C),"")</f>
        <v>0.33594733758057077</v>
      </c>
      <c r="W83" s="218" t="s">
        <v>311</v>
      </c>
      <c r="X83" s="218" t="s">
        <v>1077</v>
      </c>
      <c r="Y83" s="218"/>
      <c r="Z83" s="219" t="s">
        <v>1077</v>
      </c>
      <c r="AA83" s="220">
        <v>0.46875</v>
      </c>
      <c r="AB83" s="220"/>
      <c r="AC83" s="220"/>
      <c r="AD83" s="220">
        <v>0.5</v>
      </c>
      <c r="AE83" s="221">
        <f>IF(Plant_BD[[#This Row],[Acknowledgement Time ]]="NA","",(Plant_BD[[#This Row],[Acknowledgement Time ]]-Plant_BD[[#This Row],[Fault Time]])*24)</f>
        <v>-11.25</v>
      </c>
      <c r="AF83" s="221">
        <f>IF(Plant_BD[[#This Row],[Work Start time on Fault]]="NA","",(Plant_BD[[#This Row],[Work Start time on Fault]]-Plant_BD[[#This Row],[Fault Time]])*24)</f>
        <v>-11.25</v>
      </c>
      <c r="AG83" s="17">
        <f>(Plant_BD[[#This Row],[Work Completion time on fault]]-Plant_BD[[#This Row],[Fault Time]])*24</f>
        <v>0.75</v>
      </c>
      <c r="AH83" s="17">
        <f>IFERROR((Plant_BD[[#This Row],[Work Completion time on fault]]-Plant_BD[[#This Row],[Fault Time]])*24,"")</f>
        <v>0.75</v>
      </c>
      <c r="AI83" s="222" t="s">
        <v>1074</v>
      </c>
      <c r="AJ83" s="6" t="s">
        <v>1069</v>
      </c>
      <c r="AK83" s="223">
        <f>IFERROR(Plant_BD[[#This Row],[Breakdown Time]]*Plant_BD[[#This Row],[Plant Equivalent Weightage]],"")</f>
        <v>0.25196050318542806</v>
      </c>
      <c r="AL83" s="6">
        <v>0.73</v>
      </c>
      <c r="AM83" s="221">
        <f>_xlfn.XLOOKUP($G83,'Modelling New'!$D:$D,'Modelling New'!$O:$O)*Plant_BD[[#This Row],[Lost PoA(kWh/m2)]]*Plant_BD[[#This Row],[DC Capacity Affected (kW)]]</f>
        <v>1328.3045821602805</v>
      </c>
      <c r="AN83" s="6"/>
      <c r="AO83" s="6"/>
      <c r="AP83" s="224"/>
    </row>
    <row r="84" spans="1:42" x14ac:dyDescent="0.3">
      <c r="A84" s="171">
        <f t="shared" si="1"/>
        <v>83</v>
      </c>
      <c r="B84" s="200">
        <v>45751</v>
      </c>
      <c r="C84" s="212">
        <f>YEAR(Plant_BD[[#This Row],[Date]])+IF(MONTH(Plant_BD[[#This Row],[Date]])&gt;=4,1,0)</f>
        <v>2026</v>
      </c>
      <c r="D84" s="212">
        <f>YEAR(Plant_BD[[#This Row],[Date]])</f>
        <v>2025</v>
      </c>
      <c r="E84" s="77" t="s">
        <v>1070</v>
      </c>
      <c r="F84" s="77" t="s">
        <v>1070</v>
      </c>
      <c r="G84" s="213">
        <f>Plant_BD[[#This Row],[Date]]-DAY(Plant_BD[[#This Row],[Date]])+1</f>
        <v>45748</v>
      </c>
      <c r="H84" s="3">
        <f>DAY(EOMONTH(Plant_BD[[#This Row],[Month Year]],0))</f>
        <v>30</v>
      </c>
      <c r="I84" s="214">
        <f>_xlfn.XLOOKUP(Plant_BD[[#This Row],[Date]],'Raw Data'!$G:$G,'Raw Data'!$I:$I)</f>
        <v>0.25624999999999998</v>
      </c>
      <c r="J84" s="214">
        <f>_xlfn.XLOOKUP(Plant_BD[[#This Row],[Date]],'Raw Data'!$G:$G,'Raw Data'!$J:$J)</f>
        <v>0.77083333333333337</v>
      </c>
      <c r="K84" s="215">
        <f>IFERROR((Plant_BD[[#This Row],[Sunset Time (POA&lt;20 W/m2)]]-Plant_BD[[#This Row],[Sunrise Time (POA&gt;20 W/m2)]])*24,"")</f>
        <v>12.350000000000001</v>
      </c>
      <c r="L84" s="215"/>
      <c r="M84" s="215"/>
      <c r="N84" s="215"/>
      <c r="O84" s="215"/>
      <c r="P84" s="215"/>
      <c r="Q84" s="215"/>
      <c r="R84" s="215"/>
      <c r="S84" s="215"/>
      <c r="T84" s="216" t="s">
        <v>219</v>
      </c>
      <c r="U84" s="16">
        <f>IFERROR(_xlfn.XLOOKUP(Plant_BD[[#This Row],[Affected Equipment]],'Basic Data'!$A:$A,'Basic Data'!$B:$B),"")</f>
        <v>669.6</v>
      </c>
      <c r="V84" s="217">
        <f>IFERROR(_xlfn.XLOOKUP(Plant_BD[[#This Row],[Affected Equipment]],'Basic Data'!$A:$A,'Basic Data'!$C:$C),"")</f>
        <v>8.348190352703562E-2</v>
      </c>
      <c r="W84" s="218" t="s">
        <v>311</v>
      </c>
      <c r="X84" s="218" t="s">
        <v>1076</v>
      </c>
      <c r="Y84" s="218"/>
      <c r="Z84" s="219" t="s">
        <v>1076</v>
      </c>
      <c r="AA84" s="220">
        <v>0.5</v>
      </c>
      <c r="AB84" s="220"/>
      <c r="AC84" s="220"/>
      <c r="AD84" s="220">
        <v>0.50277777777777777</v>
      </c>
      <c r="AE84" s="221">
        <f>IF(Plant_BD[[#This Row],[Acknowledgement Time ]]="NA","",(Plant_BD[[#This Row],[Acknowledgement Time ]]-Plant_BD[[#This Row],[Fault Time]])*24)</f>
        <v>-12</v>
      </c>
      <c r="AF84" s="221">
        <f>IF(Plant_BD[[#This Row],[Work Start time on Fault]]="NA","",(Plant_BD[[#This Row],[Work Start time on Fault]]-Plant_BD[[#This Row],[Fault Time]])*24)</f>
        <v>-12</v>
      </c>
      <c r="AG84" s="17">
        <f>(Plant_BD[[#This Row],[Work Completion time on fault]]-Plant_BD[[#This Row],[Fault Time]])*24</f>
        <v>6.666666666666643E-2</v>
      </c>
      <c r="AH84" s="17">
        <f>IFERROR((Plant_BD[[#This Row],[Work Completion time on fault]]-Plant_BD[[#This Row],[Fault Time]])*24,"")</f>
        <v>6.666666666666643E-2</v>
      </c>
      <c r="AI84" s="222" t="s">
        <v>1072</v>
      </c>
      <c r="AJ84" s="6" t="s">
        <v>1068</v>
      </c>
      <c r="AK84" s="223">
        <f>IFERROR(Plant_BD[[#This Row],[Breakdown Time]]*Plant_BD[[#This Row],[Plant Equivalent Weightage]],"")</f>
        <v>5.5654602351356882E-3</v>
      </c>
      <c r="AL84" s="6">
        <v>0.08</v>
      </c>
      <c r="AM84" s="221">
        <f>_xlfn.XLOOKUP($G84,'Modelling New'!$D:$D,'Modelling New'!$O:$O)*Plant_BD[[#This Row],[Lost PoA(kWh/m2)]]*Plant_BD[[#This Row],[DC Capacity Affected (kW)]]</f>
        <v>36.173117344359909</v>
      </c>
      <c r="AN84" s="6"/>
      <c r="AO84" s="6"/>
      <c r="AP84" s="224"/>
    </row>
    <row r="85" spans="1:42" x14ac:dyDescent="0.3">
      <c r="A85" s="171">
        <f t="shared" si="1"/>
        <v>84</v>
      </c>
      <c r="B85" s="200">
        <v>45751</v>
      </c>
      <c r="C85" s="212">
        <f>YEAR(Plant_BD[[#This Row],[Date]])+IF(MONTH(Plant_BD[[#This Row],[Date]])&gt;=4,1,0)</f>
        <v>2026</v>
      </c>
      <c r="D85" s="212">
        <f>YEAR(Plant_BD[[#This Row],[Date]])</f>
        <v>2025</v>
      </c>
      <c r="E85" s="77" t="s">
        <v>1070</v>
      </c>
      <c r="F85" s="77" t="s">
        <v>1070</v>
      </c>
      <c r="G85" s="213">
        <f>Plant_BD[[#This Row],[Date]]-DAY(Plant_BD[[#This Row],[Date]])+1</f>
        <v>45748</v>
      </c>
      <c r="H85" s="3">
        <f>DAY(EOMONTH(Plant_BD[[#This Row],[Month Year]],0))</f>
        <v>30</v>
      </c>
      <c r="I85" s="214">
        <f>_xlfn.XLOOKUP(Plant_BD[[#This Row],[Date]],'Raw Data'!$G:$G,'Raw Data'!$I:$I)</f>
        <v>0.25624999999999998</v>
      </c>
      <c r="J85" s="214">
        <f>_xlfn.XLOOKUP(Plant_BD[[#This Row],[Date]],'Raw Data'!$G:$G,'Raw Data'!$J:$J)</f>
        <v>0.77083333333333337</v>
      </c>
      <c r="K85" s="215">
        <f>IFERROR((Plant_BD[[#This Row],[Sunset Time (POA&lt;20 W/m2)]]-Plant_BD[[#This Row],[Sunrise Time (POA&gt;20 W/m2)]])*24,"")</f>
        <v>12.350000000000001</v>
      </c>
      <c r="L85" s="215"/>
      <c r="M85" s="215"/>
      <c r="N85" s="215"/>
      <c r="O85" s="215"/>
      <c r="P85" s="215"/>
      <c r="Q85" s="215"/>
      <c r="R85" s="215"/>
      <c r="S85" s="215"/>
      <c r="T85" s="216" t="s">
        <v>168</v>
      </c>
      <c r="U85" s="16">
        <f>IFERROR(_xlfn.XLOOKUP(Plant_BD[[#This Row],[Affected Equipment]],'Basic Data'!$A:$A,'Basic Data'!$B:$B),"")</f>
        <v>2694.6</v>
      </c>
      <c r="V85" s="217">
        <f>IFERROR(_xlfn.XLOOKUP(Plant_BD[[#This Row],[Affected Equipment]],'Basic Data'!$A:$A,'Basic Data'!$C:$C),"")</f>
        <v>0.33594733758057077</v>
      </c>
      <c r="W85" s="218" t="s">
        <v>311</v>
      </c>
      <c r="X85" s="218" t="s">
        <v>1077</v>
      </c>
      <c r="Y85" s="218"/>
      <c r="Z85" s="219" t="s">
        <v>1077</v>
      </c>
      <c r="AA85" s="220">
        <v>0.50277777777777777</v>
      </c>
      <c r="AB85" s="220"/>
      <c r="AC85" s="220"/>
      <c r="AD85" s="220">
        <v>0.55138888888888893</v>
      </c>
      <c r="AE85" s="221">
        <f>IF(Plant_BD[[#This Row],[Acknowledgement Time ]]="NA","",(Plant_BD[[#This Row],[Acknowledgement Time ]]-Plant_BD[[#This Row],[Fault Time]])*24)</f>
        <v>-12.066666666666666</v>
      </c>
      <c r="AF85" s="221">
        <f>IF(Plant_BD[[#This Row],[Work Start time on Fault]]="NA","",(Plant_BD[[#This Row],[Work Start time on Fault]]-Plant_BD[[#This Row],[Fault Time]])*24)</f>
        <v>-12.066666666666666</v>
      </c>
      <c r="AG85" s="17">
        <f>(Plant_BD[[#This Row],[Work Completion time on fault]]-Plant_BD[[#This Row],[Fault Time]])*24</f>
        <v>1.1666666666666679</v>
      </c>
      <c r="AH85" s="17">
        <f>IFERROR((Plant_BD[[#This Row],[Work Completion time on fault]]-Plant_BD[[#This Row],[Fault Time]])*24,"")</f>
        <v>1.1666666666666679</v>
      </c>
      <c r="AI85" s="222" t="s">
        <v>1074</v>
      </c>
      <c r="AJ85" s="6" t="s">
        <v>1069</v>
      </c>
      <c r="AK85" s="223">
        <f>IFERROR(Plant_BD[[#This Row],[Breakdown Time]]*Plant_BD[[#This Row],[Plant Equivalent Weightage]],"")</f>
        <v>0.39193856051066628</v>
      </c>
      <c r="AL85" s="6">
        <v>1.1100000000000001</v>
      </c>
      <c r="AM85" s="221">
        <f>_xlfn.XLOOKUP($G85,'Modelling New'!$D:$D,'Modelling New'!$O:$O)*Plant_BD[[#This Row],[Lost PoA(kWh/m2)]]*Plant_BD[[#This Row],[DC Capacity Affected (kW)]]</f>
        <v>2019.7508030108377</v>
      </c>
      <c r="AN85" s="6"/>
      <c r="AO85" s="6"/>
      <c r="AP85" s="224"/>
    </row>
    <row r="86" spans="1:42" x14ac:dyDescent="0.3">
      <c r="A86" s="171">
        <f t="shared" si="1"/>
        <v>85</v>
      </c>
      <c r="B86" s="200">
        <v>45751</v>
      </c>
      <c r="C86" s="212">
        <f>YEAR(Plant_BD[[#This Row],[Date]])+IF(MONTH(Plant_BD[[#This Row],[Date]])&gt;=4,1,0)</f>
        <v>2026</v>
      </c>
      <c r="D86" s="212">
        <f>YEAR(Plant_BD[[#This Row],[Date]])</f>
        <v>2025</v>
      </c>
      <c r="E86" s="77" t="s">
        <v>1070</v>
      </c>
      <c r="F86" s="77" t="s">
        <v>1070</v>
      </c>
      <c r="G86" s="213">
        <f>Plant_BD[[#This Row],[Date]]-DAY(Plant_BD[[#This Row],[Date]])+1</f>
        <v>45748</v>
      </c>
      <c r="H86" s="3">
        <f>DAY(EOMONTH(Plant_BD[[#This Row],[Month Year]],0))</f>
        <v>30</v>
      </c>
      <c r="I86" s="214">
        <f>_xlfn.XLOOKUP(Plant_BD[[#This Row],[Date]],'Raw Data'!$G:$G,'Raw Data'!$I:$I)</f>
        <v>0.25624999999999998</v>
      </c>
      <c r="J86" s="214">
        <f>_xlfn.XLOOKUP(Plant_BD[[#This Row],[Date]],'Raw Data'!$G:$G,'Raw Data'!$J:$J)</f>
        <v>0.77083333333333337</v>
      </c>
      <c r="K86" s="215">
        <f>IFERROR((Plant_BD[[#This Row],[Sunset Time (POA&lt;20 W/m2)]]-Plant_BD[[#This Row],[Sunrise Time (POA&gt;20 W/m2)]])*24,"")</f>
        <v>12.350000000000001</v>
      </c>
      <c r="L86" s="215"/>
      <c r="M86" s="215"/>
      <c r="N86" s="215"/>
      <c r="O86" s="215"/>
      <c r="P86" s="215"/>
      <c r="Q86" s="215"/>
      <c r="R86" s="215"/>
      <c r="S86" s="215"/>
      <c r="T86" s="216" t="s">
        <v>219</v>
      </c>
      <c r="U86" s="16">
        <f>IFERROR(_xlfn.XLOOKUP(Plant_BD[[#This Row],[Affected Equipment]],'Basic Data'!$A:$A,'Basic Data'!$B:$B),"")</f>
        <v>669.6</v>
      </c>
      <c r="V86" s="217">
        <f>IFERROR(_xlfn.XLOOKUP(Plant_BD[[#This Row],[Affected Equipment]],'Basic Data'!$A:$A,'Basic Data'!$C:$C),"")</f>
        <v>8.348190352703562E-2</v>
      </c>
      <c r="W86" s="218" t="s">
        <v>311</v>
      </c>
      <c r="X86" s="218" t="s">
        <v>1076</v>
      </c>
      <c r="Y86" s="218"/>
      <c r="Z86" s="219" t="s">
        <v>1076</v>
      </c>
      <c r="AA86" s="220">
        <v>0.55138888888888893</v>
      </c>
      <c r="AB86" s="220"/>
      <c r="AC86" s="220"/>
      <c r="AD86" s="220">
        <v>0.57291666666666663</v>
      </c>
      <c r="AE86" s="221">
        <f>IF(Plant_BD[[#This Row],[Acknowledgement Time ]]="NA","",(Plant_BD[[#This Row],[Acknowledgement Time ]]-Plant_BD[[#This Row],[Fault Time]])*24)</f>
        <v>-13.233333333333334</v>
      </c>
      <c r="AF86" s="221">
        <f>IF(Plant_BD[[#This Row],[Work Start time on Fault]]="NA","",(Plant_BD[[#This Row],[Work Start time on Fault]]-Plant_BD[[#This Row],[Fault Time]])*24)</f>
        <v>-13.233333333333334</v>
      </c>
      <c r="AG86" s="17">
        <f>(Plant_BD[[#This Row],[Work Completion time on fault]]-Plant_BD[[#This Row],[Fault Time]])*24</f>
        <v>0.51666666666666483</v>
      </c>
      <c r="AH86" s="17">
        <f>IFERROR((Plant_BD[[#This Row],[Work Completion time on fault]]-Plant_BD[[#This Row],[Fault Time]])*24,"")</f>
        <v>0.51666666666666483</v>
      </c>
      <c r="AI86" s="222" t="s">
        <v>1072</v>
      </c>
      <c r="AJ86" s="6" t="s">
        <v>1068</v>
      </c>
      <c r="AK86" s="223">
        <f>IFERROR(Plant_BD[[#This Row],[Breakdown Time]]*Plant_BD[[#This Row],[Plant Equivalent Weightage]],"")</f>
        <v>4.3132316822301585E-2</v>
      </c>
      <c r="AL86" s="6">
        <v>0.44</v>
      </c>
      <c r="AM86" s="221">
        <f>_xlfn.XLOOKUP($G86,'Modelling New'!$D:$D,'Modelling New'!$O:$O)*Plant_BD[[#This Row],[Lost PoA(kWh/m2)]]*Plant_BD[[#This Row],[DC Capacity Affected (kW)]]</f>
        <v>198.95214539397952</v>
      </c>
      <c r="AN86" s="6"/>
      <c r="AO86" s="6"/>
      <c r="AP86" s="224"/>
    </row>
    <row r="87" spans="1:42" x14ac:dyDescent="0.3">
      <c r="A87" s="171">
        <f t="shared" si="1"/>
        <v>86</v>
      </c>
      <c r="B87" s="200">
        <v>45751</v>
      </c>
      <c r="C87" s="212">
        <f>YEAR(Plant_BD[[#This Row],[Date]])+IF(MONTH(Plant_BD[[#This Row],[Date]])&gt;=4,1,0)</f>
        <v>2026</v>
      </c>
      <c r="D87" s="212">
        <f>YEAR(Plant_BD[[#This Row],[Date]])</f>
        <v>2025</v>
      </c>
      <c r="E87" s="77" t="s">
        <v>1070</v>
      </c>
      <c r="F87" s="77" t="s">
        <v>1070</v>
      </c>
      <c r="G87" s="213">
        <f>Plant_BD[[#This Row],[Date]]-DAY(Plant_BD[[#This Row],[Date]])+1</f>
        <v>45748</v>
      </c>
      <c r="H87" s="3">
        <f>DAY(EOMONTH(Plant_BD[[#This Row],[Month Year]],0))</f>
        <v>30</v>
      </c>
      <c r="I87" s="214">
        <f>_xlfn.XLOOKUP(Plant_BD[[#This Row],[Date]],'Raw Data'!$G:$G,'Raw Data'!$I:$I)</f>
        <v>0.25624999999999998</v>
      </c>
      <c r="J87" s="214">
        <f>_xlfn.XLOOKUP(Plant_BD[[#This Row],[Date]],'Raw Data'!$G:$G,'Raw Data'!$J:$J)</f>
        <v>0.77083333333333337</v>
      </c>
      <c r="K87" s="215">
        <f>IFERROR((Plant_BD[[#This Row],[Sunset Time (POA&lt;20 W/m2)]]-Plant_BD[[#This Row],[Sunrise Time (POA&gt;20 W/m2)]])*24,"")</f>
        <v>12.350000000000001</v>
      </c>
      <c r="L87" s="215"/>
      <c r="M87" s="215"/>
      <c r="N87" s="215"/>
      <c r="O87" s="215"/>
      <c r="P87" s="215"/>
      <c r="Q87" s="215"/>
      <c r="R87" s="215"/>
      <c r="S87" s="215"/>
      <c r="T87" s="216" t="s">
        <v>220</v>
      </c>
      <c r="U87" s="16">
        <f>IFERROR(_xlfn.XLOOKUP(Plant_BD[[#This Row],[Affected Equipment]],'Basic Data'!$A:$A,'Basic Data'!$B:$B),"")</f>
        <v>669.6</v>
      </c>
      <c r="V87" s="217">
        <f>IFERROR(_xlfn.XLOOKUP(Plant_BD[[#This Row],[Affected Equipment]],'Basic Data'!$A:$A,'Basic Data'!$C:$C),"")</f>
        <v>8.348190352703562E-2</v>
      </c>
      <c r="W87" s="218" t="s">
        <v>311</v>
      </c>
      <c r="X87" s="218" t="s">
        <v>1078</v>
      </c>
      <c r="Y87" s="218"/>
      <c r="Z87" s="219" t="s">
        <v>1078</v>
      </c>
      <c r="AA87" s="220">
        <v>0.55138888888888893</v>
      </c>
      <c r="AB87" s="220"/>
      <c r="AC87" s="220"/>
      <c r="AD87" s="220">
        <v>0.57291666666666663</v>
      </c>
      <c r="AE87" s="221">
        <f>IF(Plant_BD[[#This Row],[Acknowledgement Time ]]="NA","",(Plant_BD[[#This Row],[Acknowledgement Time ]]-Plant_BD[[#This Row],[Fault Time]])*24)</f>
        <v>-13.233333333333334</v>
      </c>
      <c r="AF87" s="221">
        <f>IF(Plant_BD[[#This Row],[Work Start time on Fault]]="NA","",(Plant_BD[[#This Row],[Work Start time on Fault]]-Plant_BD[[#This Row],[Fault Time]])*24)</f>
        <v>-13.233333333333334</v>
      </c>
      <c r="AG87" s="17">
        <f>(Plant_BD[[#This Row],[Work Completion time on fault]]-Plant_BD[[#This Row],[Fault Time]])*24</f>
        <v>0.51666666666666483</v>
      </c>
      <c r="AH87" s="17">
        <f>IFERROR((Plant_BD[[#This Row],[Work Completion time on fault]]-Plant_BD[[#This Row],[Fault Time]])*24,"")</f>
        <v>0.51666666666666483</v>
      </c>
      <c r="AI87" s="222" t="s">
        <v>1072</v>
      </c>
      <c r="AJ87" s="6" t="s">
        <v>1068</v>
      </c>
      <c r="AK87" s="223">
        <f>IFERROR(Plant_BD[[#This Row],[Breakdown Time]]*Plant_BD[[#This Row],[Plant Equivalent Weightage]],"")</f>
        <v>4.3132316822301585E-2</v>
      </c>
      <c r="AL87" s="6">
        <v>0.44</v>
      </c>
      <c r="AM87" s="221">
        <f>_xlfn.XLOOKUP($G87,'Modelling New'!$D:$D,'Modelling New'!$O:$O)*Plant_BD[[#This Row],[Lost PoA(kWh/m2)]]*Plant_BD[[#This Row],[DC Capacity Affected (kW)]]</f>
        <v>198.95214539397952</v>
      </c>
      <c r="AN87" s="6"/>
      <c r="AO87" s="6"/>
      <c r="AP87" s="224"/>
    </row>
    <row r="88" spans="1:42" x14ac:dyDescent="0.3">
      <c r="A88" s="171">
        <f t="shared" si="1"/>
        <v>87</v>
      </c>
      <c r="B88" s="200">
        <v>45751</v>
      </c>
      <c r="C88" s="212">
        <f>YEAR(Plant_BD[[#This Row],[Date]])+IF(MONTH(Plant_BD[[#This Row],[Date]])&gt;=4,1,0)</f>
        <v>2026</v>
      </c>
      <c r="D88" s="212">
        <f>YEAR(Plant_BD[[#This Row],[Date]])</f>
        <v>2025</v>
      </c>
      <c r="E88" s="77" t="s">
        <v>1070</v>
      </c>
      <c r="F88" s="77" t="s">
        <v>1070</v>
      </c>
      <c r="G88" s="213">
        <f>Plant_BD[[#This Row],[Date]]-DAY(Plant_BD[[#This Row],[Date]])+1</f>
        <v>45748</v>
      </c>
      <c r="H88" s="3">
        <f>DAY(EOMONTH(Plant_BD[[#This Row],[Month Year]],0))</f>
        <v>30</v>
      </c>
      <c r="I88" s="214">
        <f>_xlfn.XLOOKUP(Plant_BD[[#This Row],[Date]],'Raw Data'!$G:$G,'Raw Data'!$I:$I)</f>
        <v>0.25624999999999998</v>
      </c>
      <c r="J88" s="214">
        <f>_xlfn.XLOOKUP(Plant_BD[[#This Row],[Date]],'Raw Data'!$G:$G,'Raw Data'!$J:$J)</f>
        <v>0.77083333333333337</v>
      </c>
      <c r="K88" s="215">
        <f>IFERROR((Plant_BD[[#This Row],[Sunset Time (POA&lt;20 W/m2)]]-Plant_BD[[#This Row],[Sunrise Time (POA&gt;20 W/m2)]])*24,"")</f>
        <v>12.350000000000001</v>
      </c>
      <c r="L88" s="215"/>
      <c r="M88" s="215"/>
      <c r="N88" s="215"/>
      <c r="O88" s="215"/>
      <c r="P88" s="215"/>
      <c r="Q88" s="215"/>
      <c r="R88" s="215"/>
      <c r="S88" s="215"/>
      <c r="T88" s="216" t="s">
        <v>168</v>
      </c>
      <c r="U88" s="16">
        <f>IFERROR(_xlfn.XLOOKUP(Plant_BD[[#This Row],[Affected Equipment]],'Basic Data'!$A:$A,'Basic Data'!$B:$B),"")</f>
        <v>2694.6</v>
      </c>
      <c r="V88" s="217">
        <f>IFERROR(_xlfn.XLOOKUP(Plant_BD[[#This Row],[Affected Equipment]],'Basic Data'!$A:$A,'Basic Data'!$C:$C),"")</f>
        <v>0.33594733758057077</v>
      </c>
      <c r="W88" s="218" t="s">
        <v>311</v>
      </c>
      <c r="X88" s="218" t="s">
        <v>1077</v>
      </c>
      <c r="Y88" s="218"/>
      <c r="Z88" s="219" t="s">
        <v>1077</v>
      </c>
      <c r="AA88" s="220">
        <v>0.57291666666666663</v>
      </c>
      <c r="AB88" s="220"/>
      <c r="AC88" s="220"/>
      <c r="AD88" s="220">
        <v>0.57708333333333328</v>
      </c>
      <c r="AE88" s="221">
        <f>IF(Plant_BD[[#This Row],[Acknowledgement Time ]]="NA","",(Plant_BD[[#This Row],[Acknowledgement Time ]]-Plant_BD[[#This Row],[Fault Time]])*24)</f>
        <v>-13.75</v>
      </c>
      <c r="AF88" s="221">
        <f>IF(Plant_BD[[#This Row],[Work Start time on Fault]]="NA","",(Plant_BD[[#This Row],[Work Start time on Fault]]-Plant_BD[[#This Row],[Fault Time]])*24)</f>
        <v>-13.75</v>
      </c>
      <c r="AG88" s="17">
        <f>(Plant_BD[[#This Row],[Work Completion time on fault]]-Plant_BD[[#This Row],[Fault Time]])*24</f>
        <v>9.9999999999999645E-2</v>
      </c>
      <c r="AH88" s="17">
        <f>IFERROR((Plant_BD[[#This Row],[Work Completion time on fault]]-Plant_BD[[#This Row],[Fault Time]])*24,"")</f>
        <v>9.9999999999999645E-2</v>
      </c>
      <c r="AI88" s="222" t="s">
        <v>1074</v>
      </c>
      <c r="AJ88" s="6" t="s">
        <v>1069</v>
      </c>
      <c r="AK88" s="223">
        <f>IFERROR(Plant_BD[[#This Row],[Breakdown Time]]*Plant_BD[[#This Row],[Plant Equivalent Weightage]],"")</f>
        <v>3.3594733758056959E-2</v>
      </c>
      <c r="AL88" s="6">
        <v>0.12</v>
      </c>
      <c r="AM88" s="221">
        <f>_xlfn.XLOOKUP($G88,'Modelling New'!$D:$D,'Modelling New'!$O:$O)*Plant_BD[[#This Row],[Lost PoA(kWh/m2)]]*Plant_BD[[#This Row],[DC Capacity Affected (kW)]]</f>
        <v>218.3514381633338</v>
      </c>
      <c r="AN88" s="6"/>
      <c r="AO88" s="6"/>
      <c r="AP88" s="224"/>
    </row>
    <row r="89" spans="1:42" x14ac:dyDescent="0.3">
      <c r="A89" s="171">
        <f t="shared" si="1"/>
        <v>88</v>
      </c>
      <c r="B89" s="200">
        <v>45751</v>
      </c>
      <c r="C89" s="212">
        <f>YEAR(Plant_BD[[#This Row],[Date]])+IF(MONTH(Plant_BD[[#This Row],[Date]])&gt;=4,1,0)</f>
        <v>2026</v>
      </c>
      <c r="D89" s="212">
        <f>YEAR(Plant_BD[[#This Row],[Date]])</f>
        <v>2025</v>
      </c>
      <c r="E89" s="77" t="s">
        <v>1070</v>
      </c>
      <c r="F89" s="77" t="s">
        <v>1070</v>
      </c>
      <c r="G89" s="213">
        <f>Plant_BD[[#This Row],[Date]]-DAY(Plant_BD[[#This Row],[Date]])+1</f>
        <v>45748</v>
      </c>
      <c r="H89" s="3">
        <f>DAY(EOMONTH(Plant_BD[[#This Row],[Month Year]],0))</f>
        <v>30</v>
      </c>
      <c r="I89" s="214">
        <f>_xlfn.XLOOKUP(Plant_BD[[#This Row],[Date]],'Raw Data'!$G:$G,'Raw Data'!$I:$I)</f>
        <v>0.25624999999999998</v>
      </c>
      <c r="J89" s="214">
        <f>_xlfn.XLOOKUP(Plant_BD[[#This Row],[Date]],'Raw Data'!$G:$G,'Raw Data'!$J:$J)</f>
        <v>0.77083333333333337</v>
      </c>
      <c r="K89" s="215">
        <f>IFERROR((Plant_BD[[#This Row],[Sunset Time (POA&lt;20 W/m2)]]-Plant_BD[[#This Row],[Sunrise Time (POA&gt;20 W/m2)]])*24,"")</f>
        <v>12.350000000000001</v>
      </c>
      <c r="L89" s="215"/>
      <c r="M89" s="215"/>
      <c r="N89" s="215"/>
      <c r="O89" s="215"/>
      <c r="P89" s="215"/>
      <c r="Q89" s="215"/>
      <c r="R89" s="215"/>
      <c r="S89" s="215"/>
      <c r="T89" s="216" t="s">
        <v>219</v>
      </c>
      <c r="U89" s="16">
        <f>IFERROR(_xlfn.XLOOKUP(Plant_BD[[#This Row],[Affected Equipment]],'Basic Data'!$A:$A,'Basic Data'!$B:$B),"")</f>
        <v>669.6</v>
      </c>
      <c r="V89" s="217">
        <f>IFERROR(_xlfn.XLOOKUP(Plant_BD[[#This Row],[Affected Equipment]],'Basic Data'!$A:$A,'Basic Data'!$C:$C),"")</f>
        <v>8.348190352703562E-2</v>
      </c>
      <c r="W89" s="218" t="s">
        <v>311</v>
      </c>
      <c r="X89" s="218" t="s">
        <v>1076</v>
      </c>
      <c r="Y89" s="218"/>
      <c r="Z89" s="219" t="s">
        <v>1076</v>
      </c>
      <c r="AA89" s="220">
        <v>0.57708333333333328</v>
      </c>
      <c r="AB89" s="220"/>
      <c r="AC89" s="220"/>
      <c r="AD89" s="220">
        <v>0.60277777777777775</v>
      </c>
      <c r="AE89" s="221">
        <f>IF(Plant_BD[[#This Row],[Acknowledgement Time ]]="NA","",(Plant_BD[[#This Row],[Acknowledgement Time ]]-Plant_BD[[#This Row],[Fault Time]])*24)</f>
        <v>-13.849999999999998</v>
      </c>
      <c r="AF89" s="221">
        <f>IF(Plant_BD[[#This Row],[Work Start time on Fault]]="NA","",(Plant_BD[[#This Row],[Work Start time on Fault]]-Plant_BD[[#This Row],[Fault Time]])*24)</f>
        <v>-13.849999999999998</v>
      </c>
      <c r="AG89" s="17">
        <f>(Plant_BD[[#This Row],[Work Completion time on fault]]-Plant_BD[[#This Row],[Fault Time]])*24</f>
        <v>0.61666666666666714</v>
      </c>
      <c r="AH89" s="17">
        <f>IFERROR((Plant_BD[[#This Row],[Work Completion time on fault]]-Plant_BD[[#This Row],[Fault Time]])*24,"")</f>
        <v>0.61666666666666714</v>
      </c>
      <c r="AI89" s="222" t="s">
        <v>1072</v>
      </c>
      <c r="AJ89" s="6" t="s">
        <v>1068</v>
      </c>
      <c r="AK89" s="223">
        <f>IFERROR(Plant_BD[[#This Row],[Breakdown Time]]*Plant_BD[[#This Row],[Plant Equivalent Weightage]],"")</f>
        <v>5.1480507175005338E-2</v>
      </c>
      <c r="AL89" s="6">
        <v>0.53</v>
      </c>
      <c r="AM89" s="221">
        <f>_xlfn.XLOOKUP($G89,'Modelling New'!$D:$D,'Modelling New'!$O:$O)*Plant_BD[[#This Row],[Lost PoA(kWh/m2)]]*Plant_BD[[#This Row],[DC Capacity Affected (kW)]]</f>
        <v>239.64690240638441</v>
      </c>
      <c r="AN89" s="6"/>
      <c r="AO89" s="6"/>
      <c r="AP89" s="224"/>
    </row>
    <row r="90" spans="1:42" x14ac:dyDescent="0.3">
      <c r="A90" s="171">
        <f t="shared" si="1"/>
        <v>89</v>
      </c>
      <c r="B90" s="200">
        <v>45751</v>
      </c>
      <c r="C90" s="212">
        <f>YEAR(Plant_BD[[#This Row],[Date]])+IF(MONTH(Plant_BD[[#This Row],[Date]])&gt;=4,1,0)</f>
        <v>2026</v>
      </c>
      <c r="D90" s="212">
        <f>YEAR(Plant_BD[[#This Row],[Date]])</f>
        <v>2025</v>
      </c>
      <c r="E90" s="77" t="s">
        <v>1070</v>
      </c>
      <c r="F90" s="77" t="s">
        <v>1070</v>
      </c>
      <c r="G90" s="213">
        <f>Plant_BD[[#This Row],[Date]]-DAY(Plant_BD[[#This Row],[Date]])+1</f>
        <v>45748</v>
      </c>
      <c r="H90" s="3">
        <f>DAY(EOMONTH(Plant_BD[[#This Row],[Month Year]],0))</f>
        <v>30</v>
      </c>
      <c r="I90" s="214">
        <f>_xlfn.XLOOKUP(Plant_BD[[#This Row],[Date]],'Raw Data'!$G:$G,'Raw Data'!$I:$I)</f>
        <v>0.25624999999999998</v>
      </c>
      <c r="J90" s="214">
        <f>_xlfn.XLOOKUP(Plant_BD[[#This Row],[Date]],'Raw Data'!$G:$G,'Raw Data'!$J:$J)</f>
        <v>0.77083333333333337</v>
      </c>
      <c r="K90" s="215">
        <f>IFERROR((Plant_BD[[#This Row],[Sunset Time (POA&lt;20 W/m2)]]-Plant_BD[[#This Row],[Sunrise Time (POA&gt;20 W/m2)]])*24,"")</f>
        <v>12.350000000000001</v>
      </c>
      <c r="L90" s="215"/>
      <c r="M90" s="215"/>
      <c r="N90" s="215"/>
      <c r="O90" s="215"/>
      <c r="P90" s="215"/>
      <c r="Q90" s="215"/>
      <c r="R90" s="215"/>
      <c r="S90" s="215"/>
      <c r="T90" s="216" t="s">
        <v>220</v>
      </c>
      <c r="U90" s="16">
        <f>IFERROR(_xlfn.XLOOKUP(Plant_BD[[#This Row],[Affected Equipment]],'Basic Data'!$A:$A,'Basic Data'!$B:$B),"")</f>
        <v>669.6</v>
      </c>
      <c r="V90" s="217">
        <f>IFERROR(_xlfn.XLOOKUP(Plant_BD[[#This Row],[Affected Equipment]],'Basic Data'!$A:$A,'Basic Data'!$C:$C),"")</f>
        <v>8.348190352703562E-2</v>
      </c>
      <c r="W90" s="218" t="s">
        <v>311</v>
      </c>
      <c r="X90" s="218" t="s">
        <v>1078</v>
      </c>
      <c r="Y90" s="218"/>
      <c r="Z90" s="219" t="s">
        <v>1078</v>
      </c>
      <c r="AA90" s="220">
        <v>0.57708333333333328</v>
      </c>
      <c r="AB90" s="220"/>
      <c r="AC90" s="220"/>
      <c r="AD90" s="220">
        <v>0.60277777777777775</v>
      </c>
      <c r="AE90" s="221">
        <f>IF(Plant_BD[[#This Row],[Acknowledgement Time ]]="NA","",(Plant_BD[[#This Row],[Acknowledgement Time ]]-Plant_BD[[#This Row],[Fault Time]])*24)</f>
        <v>-13.849999999999998</v>
      </c>
      <c r="AF90" s="221">
        <f>IF(Plant_BD[[#This Row],[Work Start time on Fault]]="NA","",(Plant_BD[[#This Row],[Work Start time on Fault]]-Plant_BD[[#This Row],[Fault Time]])*24)</f>
        <v>-13.849999999999998</v>
      </c>
      <c r="AG90" s="17">
        <f>(Plant_BD[[#This Row],[Work Completion time on fault]]-Plant_BD[[#This Row],[Fault Time]])*24</f>
        <v>0.61666666666666714</v>
      </c>
      <c r="AH90" s="17">
        <f>IFERROR((Plant_BD[[#This Row],[Work Completion time on fault]]-Plant_BD[[#This Row],[Fault Time]])*24,"")</f>
        <v>0.61666666666666714</v>
      </c>
      <c r="AI90" s="222" t="s">
        <v>1072</v>
      </c>
      <c r="AJ90" s="6" t="s">
        <v>1068</v>
      </c>
      <c r="AK90" s="223">
        <f>IFERROR(Plant_BD[[#This Row],[Breakdown Time]]*Plant_BD[[#This Row],[Plant Equivalent Weightage]],"")</f>
        <v>5.1480507175005338E-2</v>
      </c>
      <c r="AL90" s="6">
        <v>0.53</v>
      </c>
      <c r="AM90" s="221">
        <f>_xlfn.XLOOKUP($G90,'Modelling New'!$D:$D,'Modelling New'!$O:$O)*Plant_BD[[#This Row],[Lost PoA(kWh/m2)]]*Plant_BD[[#This Row],[DC Capacity Affected (kW)]]</f>
        <v>239.64690240638441</v>
      </c>
      <c r="AN90" s="6"/>
      <c r="AO90" s="6"/>
      <c r="AP90" s="224"/>
    </row>
    <row r="91" spans="1:42" x14ac:dyDescent="0.3">
      <c r="A91" s="171">
        <f t="shared" si="1"/>
        <v>90</v>
      </c>
      <c r="B91" s="200">
        <v>45751</v>
      </c>
      <c r="C91" s="212">
        <f>YEAR(Plant_BD[[#This Row],[Date]])+IF(MONTH(Plant_BD[[#This Row],[Date]])&gt;=4,1,0)</f>
        <v>2026</v>
      </c>
      <c r="D91" s="212">
        <f>YEAR(Plant_BD[[#This Row],[Date]])</f>
        <v>2025</v>
      </c>
      <c r="E91" s="77" t="s">
        <v>1070</v>
      </c>
      <c r="F91" s="77" t="s">
        <v>1070</v>
      </c>
      <c r="G91" s="213">
        <f>Plant_BD[[#This Row],[Date]]-DAY(Plant_BD[[#This Row],[Date]])+1</f>
        <v>45748</v>
      </c>
      <c r="H91" s="3">
        <f>DAY(EOMONTH(Plant_BD[[#This Row],[Month Year]],0))</f>
        <v>30</v>
      </c>
      <c r="I91" s="214">
        <f>_xlfn.XLOOKUP(Plant_BD[[#This Row],[Date]],'Raw Data'!$G:$G,'Raw Data'!$I:$I)</f>
        <v>0.25624999999999998</v>
      </c>
      <c r="J91" s="214">
        <f>_xlfn.XLOOKUP(Plant_BD[[#This Row],[Date]],'Raw Data'!$G:$G,'Raw Data'!$J:$J)</f>
        <v>0.77083333333333337</v>
      </c>
      <c r="K91" s="215">
        <f>IFERROR((Plant_BD[[#This Row],[Sunset Time (POA&lt;20 W/m2)]]-Plant_BD[[#This Row],[Sunrise Time (POA&gt;20 W/m2)]])*24,"")</f>
        <v>12.350000000000001</v>
      </c>
      <c r="L91" s="215"/>
      <c r="M91" s="215"/>
      <c r="N91" s="215"/>
      <c r="O91" s="215"/>
      <c r="P91" s="215"/>
      <c r="Q91" s="215"/>
      <c r="R91" s="215"/>
      <c r="S91" s="215"/>
      <c r="T91" s="216" t="s">
        <v>168</v>
      </c>
      <c r="U91" s="16">
        <f>IFERROR(_xlfn.XLOOKUP(Plant_BD[[#This Row],[Affected Equipment]],'Basic Data'!$A:$A,'Basic Data'!$B:$B),"")</f>
        <v>2694.6</v>
      </c>
      <c r="V91" s="217">
        <f>IFERROR(_xlfn.XLOOKUP(Plant_BD[[#This Row],[Affected Equipment]],'Basic Data'!$A:$A,'Basic Data'!$C:$C),"")</f>
        <v>0.33594733758057077</v>
      </c>
      <c r="W91" s="218" t="s">
        <v>311</v>
      </c>
      <c r="X91" s="218" t="s">
        <v>1077</v>
      </c>
      <c r="Y91" s="218"/>
      <c r="Z91" s="219" t="s">
        <v>1077</v>
      </c>
      <c r="AA91" s="220">
        <v>0.60277777777777775</v>
      </c>
      <c r="AB91" s="220"/>
      <c r="AC91" s="220"/>
      <c r="AD91" s="220">
        <v>0.60624999999999996</v>
      </c>
      <c r="AE91" s="221">
        <f>IF(Plant_BD[[#This Row],[Acknowledgement Time ]]="NA","",(Plant_BD[[#This Row],[Acknowledgement Time ]]-Plant_BD[[#This Row],[Fault Time]])*24)</f>
        <v>-14.466666666666665</v>
      </c>
      <c r="AF91" s="221">
        <f>IF(Plant_BD[[#This Row],[Work Start time on Fault]]="NA","",(Plant_BD[[#This Row],[Work Start time on Fault]]-Plant_BD[[#This Row],[Fault Time]])*24)</f>
        <v>-14.466666666666665</v>
      </c>
      <c r="AG91" s="17">
        <f>(Plant_BD[[#This Row],[Work Completion time on fault]]-Plant_BD[[#This Row],[Fault Time]])*24</f>
        <v>8.3333333333333037E-2</v>
      </c>
      <c r="AH91" s="17">
        <f>IFERROR((Plant_BD[[#This Row],[Work Completion time on fault]]-Plant_BD[[#This Row],[Fault Time]])*24,"")</f>
        <v>8.3333333333333037E-2</v>
      </c>
      <c r="AI91" s="222" t="s">
        <v>1074</v>
      </c>
      <c r="AJ91" s="6" t="s">
        <v>1069</v>
      </c>
      <c r="AK91" s="223">
        <f>IFERROR(Plant_BD[[#This Row],[Breakdown Time]]*Plant_BD[[#This Row],[Plant Equivalent Weightage]],"")</f>
        <v>2.7995611465047466E-2</v>
      </c>
      <c r="AL91" s="6">
        <v>0.09</v>
      </c>
      <c r="AM91" s="221">
        <f>_xlfn.XLOOKUP($G91,'Modelling New'!$D:$D,'Modelling New'!$O:$O)*Plant_BD[[#This Row],[Lost PoA(kWh/m2)]]*Plant_BD[[#This Row],[DC Capacity Affected (kW)]]</f>
        <v>163.76357862250035</v>
      </c>
      <c r="AN91" s="6"/>
      <c r="AO91" s="6"/>
      <c r="AP91" s="224"/>
    </row>
    <row r="92" spans="1:42" x14ac:dyDescent="0.3">
      <c r="A92" s="171">
        <f t="shared" si="1"/>
        <v>91</v>
      </c>
      <c r="B92" s="200">
        <v>45751</v>
      </c>
      <c r="C92" s="212">
        <f>YEAR(Plant_BD[[#This Row],[Date]])+IF(MONTH(Plant_BD[[#This Row],[Date]])&gt;=4,1,0)</f>
        <v>2026</v>
      </c>
      <c r="D92" s="212">
        <f>YEAR(Plant_BD[[#This Row],[Date]])</f>
        <v>2025</v>
      </c>
      <c r="E92" s="77" t="s">
        <v>1070</v>
      </c>
      <c r="F92" s="77" t="s">
        <v>1070</v>
      </c>
      <c r="G92" s="213">
        <f>Plant_BD[[#This Row],[Date]]-DAY(Plant_BD[[#This Row],[Date]])+1</f>
        <v>45748</v>
      </c>
      <c r="H92" s="3">
        <f>DAY(EOMONTH(Plant_BD[[#This Row],[Month Year]],0))</f>
        <v>30</v>
      </c>
      <c r="I92" s="214">
        <f>_xlfn.XLOOKUP(Plant_BD[[#This Row],[Date]],'Raw Data'!$G:$G,'Raw Data'!$I:$I)</f>
        <v>0.25624999999999998</v>
      </c>
      <c r="J92" s="214">
        <f>_xlfn.XLOOKUP(Plant_BD[[#This Row],[Date]],'Raw Data'!$G:$G,'Raw Data'!$J:$J)</f>
        <v>0.77083333333333337</v>
      </c>
      <c r="K92" s="215">
        <f>IFERROR((Plant_BD[[#This Row],[Sunset Time (POA&lt;20 W/m2)]]-Plant_BD[[#This Row],[Sunrise Time (POA&gt;20 W/m2)]])*24,"")</f>
        <v>12.350000000000001</v>
      </c>
      <c r="L92" s="215"/>
      <c r="M92" s="215"/>
      <c r="N92" s="215"/>
      <c r="O92" s="215"/>
      <c r="P92" s="215"/>
      <c r="Q92" s="215"/>
      <c r="R92" s="215"/>
      <c r="S92" s="215"/>
      <c r="T92" s="216" t="s">
        <v>219</v>
      </c>
      <c r="U92" s="16">
        <f>IFERROR(_xlfn.XLOOKUP(Plant_BD[[#This Row],[Affected Equipment]],'Basic Data'!$A:$A,'Basic Data'!$B:$B),"")</f>
        <v>669.6</v>
      </c>
      <c r="V92" s="217">
        <f>IFERROR(_xlfn.XLOOKUP(Plant_BD[[#This Row],[Affected Equipment]],'Basic Data'!$A:$A,'Basic Data'!$C:$C),"")</f>
        <v>8.348190352703562E-2</v>
      </c>
      <c r="W92" s="218" t="s">
        <v>311</v>
      </c>
      <c r="X92" s="218" t="s">
        <v>1076</v>
      </c>
      <c r="Y92" s="218"/>
      <c r="Z92" s="219" t="s">
        <v>1076</v>
      </c>
      <c r="AA92" s="220">
        <v>0.60624999999999996</v>
      </c>
      <c r="AB92" s="220"/>
      <c r="AC92" s="220"/>
      <c r="AD92" s="220">
        <v>0.68125000000000002</v>
      </c>
      <c r="AE92" s="221">
        <f>IF(Plant_BD[[#This Row],[Acknowledgement Time ]]="NA","",(Plant_BD[[#This Row],[Acknowledgement Time ]]-Plant_BD[[#This Row],[Fault Time]])*24)</f>
        <v>-14.549999999999999</v>
      </c>
      <c r="AF92" s="221">
        <f>IF(Plant_BD[[#This Row],[Work Start time on Fault]]="NA","",(Plant_BD[[#This Row],[Work Start time on Fault]]-Plant_BD[[#This Row],[Fault Time]])*24)</f>
        <v>-14.549999999999999</v>
      </c>
      <c r="AG92" s="17">
        <f>(Plant_BD[[#This Row],[Work Completion time on fault]]-Plant_BD[[#This Row],[Fault Time]])*24</f>
        <v>1.8000000000000016</v>
      </c>
      <c r="AH92" s="17">
        <f>IFERROR((Plant_BD[[#This Row],[Work Completion time on fault]]-Plant_BD[[#This Row],[Fault Time]])*24,"")</f>
        <v>1.8000000000000016</v>
      </c>
      <c r="AI92" s="222" t="s">
        <v>1072</v>
      </c>
      <c r="AJ92" s="6" t="s">
        <v>1068</v>
      </c>
      <c r="AK92" s="223">
        <f>IFERROR(Plant_BD[[#This Row],[Breakdown Time]]*Plant_BD[[#This Row],[Plant Equivalent Weightage]],"")</f>
        <v>0.15026742634866425</v>
      </c>
      <c r="AL92" s="6">
        <v>1.02</v>
      </c>
      <c r="AM92" s="221">
        <f>_xlfn.XLOOKUP($G92,'Modelling New'!$D:$D,'Modelling New'!$O:$O)*Plant_BD[[#This Row],[Lost PoA(kWh/m2)]]*Plant_BD[[#This Row],[DC Capacity Affected (kW)]]</f>
        <v>461.20724614058889</v>
      </c>
      <c r="AN92" s="6"/>
      <c r="AO92" s="6"/>
      <c r="AP92" s="224"/>
    </row>
    <row r="93" spans="1:42" x14ac:dyDescent="0.3">
      <c r="A93" s="171">
        <f t="shared" si="1"/>
        <v>92</v>
      </c>
      <c r="B93" s="200">
        <v>45751</v>
      </c>
      <c r="C93" s="212">
        <f>YEAR(Plant_BD[[#This Row],[Date]])+IF(MONTH(Plant_BD[[#This Row],[Date]])&gt;=4,1,0)</f>
        <v>2026</v>
      </c>
      <c r="D93" s="212">
        <f>YEAR(Plant_BD[[#This Row],[Date]])</f>
        <v>2025</v>
      </c>
      <c r="E93" s="77" t="s">
        <v>1070</v>
      </c>
      <c r="F93" s="77" t="s">
        <v>1070</v>
      </c>
      <c r="G93" s="213">
        <f>Plant_BD[[#This Row],[Date]]-DAY(Plant_BD[[#This Row],[Date]])+1</f>
        <v>45748</v>
      </c>
      <c r="H93" s="3">
        <f>DAY(EOMONTH(Plant_BD[[#This Row],[Month Year]],0))</f>
        <v>30</v>
      </c>
      <c r="I93" s="214">
        <f>_xlfn.XLOOKUP(Plant_BD[[#This Row],[Date]],'Raw Data'!$G:$G,'Raw Data'!$I:$I)</f>
        <v>0.25624999999999998</v>
      </c>
      <c r="J93" s="214">
        <f>_xlfn.XLOOKUP(Plant_BD[[#This Row],[Date]],'Raw Data'!$G:$G,'Raw Data'!$J:$J)</f>
        <v>0.77083333333333337</v>
      </c>
      <c r="K93" s="215">
        <f>IFERROR((Plant_BD[[#This Row],[Sunset Time (POA&lt;20 W/m2)]]-Plant_BD[[#This Row],[Sunrise Time (POA&gt;20 W/m2)]])*24,"")</f>
        <v>12.350000000000001</v>
      </c>
      <c r="L93" s="215"/>
      <c r="M93" s="215"/>
      <c r="N93" s="215"/>
      <c r="O93" s="215"/>
      <c r="P93" s="215"/>
      <c r="Q93" s="215"/>
      <c r="R93" s="215"/>
      <c r="S93" s="215"/>
      <c r="T93" s="216" t="s">
        <v>220</v>
      </c>
      <c r="U93" s="16">
        <f>IFERROR(_xlfn.XLOOKUP(Plant_BD[[#This Row],[Affected Equipment]],'Basic Data'!$A:$A,'Basic Data'!$B:$B),"")</f>
        <v>669.6</v>
      </c>
      <c r="V93" s="217">
        <f>IFERROR(_xlfn.XLOOKUP(Plant_BD[[#This Row],[Affected Equipment]],'Basic Data'!$A:$A,'Basic Data'!$C:$C),"")</f>
        <v>8.348190352703562E-2</v>
      </c>
      <c r="W93" s="218" t="s">
        <v>311</v>
      </c>
      <c r="X93" s="218" t="s">
        <v>1078</v>
      </c>
      <c r="Y93" s="218"/>
      <c r="Z93" s="219" t="s">
        <v>1078</v>
      </c>
      <c r="AA93" s="220">
        <v>0.60624999999999996</v>
      </c>
      <c r="AB93" s="220"/>
      <c r="AC93" s="220"/>
      <c r="AD93" s="220">
        <v>0.68125000000000002</v>
      </c>
      <c r="AE93" s="221">
        <f>IF(Plant_BD[[#This Row],[Acknowledgement Time ]]="NA","",(Plant_BD[[#This Row],[Acknowledgement Time ]]-Plant_BD[[#This Row],[Fault Time]])*24)</f>
        <v>-14.549999999999999</v>
      </c>
      <c r="AF93" s="221">
        <f>IF(Plant_BD[[#This Row],[Work Start time on Fault]]="NA","",(Plant_BD[[#This Row],[Work Start time on Fault]]-Plant_BD[[#This Row],[Fault Time]])*24)</f>
        <v>-14.549999999999999</v>
      </c>
      <c r="AG93" s="17">
        <f>(Plant_BD[[#This Row],[Work Completion time on fault]]-Plant_BD[[#This Row],[Fault Time]])*24</f>
        <v>1.8000000000000016</v>
      </c>
      <c r="AH93" s="17">
        <f>IFERROR((Plant_BD[[#This Row],[Work Completion time on fault]]-Plant_BD[[#This Row],[Fault Time]])*24,"")</f>
        <v>1.8000000000000016</v>
      </c>
      <c r="AI93" s="222" t="s">
        <v>1072</v>
      </c>
      <c r="AJ93" s="6" t="s">
        <v>1068</v>
      </c>
      <c r="AK93" s="223">
        <f>IFERROR(Plant_BD[[#This Row],[Breakdown Time]]*Plant_BD[[#This Row],[Plant Equivalent Weightage]],"")</f>
        <v>0.15026742634866425</v>
      </c>
      <c r="AL93" s="6">
        <v>1.02</v>
      </c>
      <c r="AM93" s="221">
        <f>_xlfn.XLOOKUP($G93,'Modelling New'!$D:$D,'Modelling New'!$O:$O)*Plant_BD[[#This Row],[Lost PoA(kWh/m2)]]*Plant_BD[[#This Row],[DC Capacity Affected (kW)]]</f>
        <v>461.20724614058889</v>
      </c>
      <c r="AN93" s="6"/>
      <c r="AO93" s="6"/>
      <c r="AP93" s="224"/>
    </row>
    <row r="94" spans="1:42" x14ac:dyDescent="0.3">
      <c r="A94" s="171">
        <f t="shared" si="1"/>
        <v>93</v>
      </c>
      <c r="B94" s="200">
        <v>45751</v>
      </c>
      <c r="C94" s="212">
        <f>YEAR(Plant_BD[[#This Row],[Date]])+IF(MONTH(Plant_BD[[#This Row],[Date]])&gt;=4,1,0)</f>
        <v>2026</v>
      </c>
      <c r="D94" s="212">
        <f>YEAR(Plant_BD[[#This Row],[Date]])</f>
        <v>2025</v>
      </c>
      <c r="E94" s="77" t="s">
        <v>1070</v>
      </c>
      <c r="F94" s="77" t="s">
        <v>1070</v>
      </c>
      <c r="G94" s="213">
        <f>Plant_BD[[#This Row],[Date]]-DAY(Plant_BD[[#This Row],[Date]])+1</f>
        <v>45748</v>
      </c>
      <c r="H94" s="3">
        <f>DAY(EOMONTH(Plant_BD[[#This Row],[Month Year]],0))</f>
        <v>30</v>
      </c>
      <c r="I94" s="214">
        <f>_xlfn.XLOOKUP(Plant_BD[[#This Row],[Date]],'Raw Data'!$G:$G,'Raw Data'!$I:$I)</f>
        <v>0.25624999999999998</v>
      </c>
      <c r="J94" s="214">
        <f>_xlfn.XLOOKUP(Plant_BD[[#This Row],[Date]],'Raw Data'!$G:$G,'Raw Data'!$J:$J)</f>
        <v>0.77083333333333337</v>
      </c>
      <c r="K94" s="215">
        <f>IFERROR((Plant_BD[[#This Row],[Sunset Time (POA&lt;20 W/m2)]]-Plant_BD[[#This Row],[Sunrise Time (POA&gt;20 W/m2)]])*24,"")</f>
        <v>12.350000000000001</v>
      </c>
      <c r="L94" s="215"/>
      <c r="M94" s="215"/>
      <c r="N94" s="215"/>
      <c r="O94" s="215"/>
      <c r="P94" s="215"/>
      <c r="Q94" s="215"/>
      <c r="R94" s="215"/>
      <c r="S94" s="215"/>
      <c r="T94" s="216" t="s">
        <v>168</v>
      </c>
      <c r="U94" s="16">
        <f>IFERROR(_xlfn.XLOOKUP(Plant_BD[[#This Row],[Affected Equipment]],'Basic Data'!$A:$A,'Basic Data'!$B:$B),"")</f>
        <v>2694.6</v>
      </c>
      <c r="V94" s="217">
        <f>IFERROR(_xlfn.XLOOKUP(Plant_BD[[#This Row],[Affected Equipment]],'Basic Data'!$A:$A,'Basic Data'!$C:$C),"")</f>
        <v>0.33594733758057077</v>
      </c>
      <c r="W94" s="218" t="s">
        <v>311</v>
      </c>
      <c r="X94" s="218" t="s">
        <v>1079</v>
      </c>
      <c r="Y94" s="218"/>
      <c r="Z94" s="219" t="s">
        <v>1079</v>
      </c>
      <c r="AA94" s="220">
        <v>0.68125000000000002</v>
      </c>
      <c r="AB94" s="220"/>
      <c r="AC94" s="220"/>
      <c r="AD94" s="220">
        <v>0.68263888888888891</v>
      </c>
      <c r="AE94" s="221">
        <f>IF(Plant_BD[[#This Row],[Acknowledgement Time ]]="NA","",(Plant_BD[[#This Row],[Acknowledgement Time ]]-Plant_BD[[#This Row],[Fault Time]])*24)</f>
        <v>-16.350000000000001</v>
      </c>
      <c r="AF94" s="221">
        <f>IF(Plant_BD[[#This Row],[Work Start time on Fault]]="NA","",(Plant_BD[[#This Row],[Work Start time on Fault]]-Plant_BD[[#This Row],[Fault Time]])*24)</f>
        <v>-16.350000000000001</v>
      </c>
      <c r="AG94" s="17">
        <f>(Plant_BD[[#This Row],[Work Completion time on fault]]-Plant_BD[[#This Row],[Fault Time]])*24</f>
        <v>3.3333333333333215E-2</v>
      </c>
      <c r="AH94" s="17">
        <f>IFERROR((Plant_BD[[#This Row],[Work Completion time on fault]]-Plant_BD[[#This Row],[Fault Time]])*24,"")</f>
        <v>3.3333333333333215E-2</v>
      </c>
      <c r="AI94" s="222" t="s">
        <v>1074</v>
      </c>
      <c r="AJ94" s="6" t="s">
        <v>1069</v>
      </c>
      <c r="AK94" s="223">
        <f>IFERROR(Plant_BD[[#This Row],[Breakdown Time]]*Plant_BD[[#This Row],[Plant Equivalent Weightage]],"")</f>
        <v>1.1198244586018986E-2</v>
      </c>
      <c r="AL94" s="6">
        <v>0.02</v>
      </c>
      <c r="AM94" s="221">
        <f>_xlfn.XLOOKUP($G94,'Modelling New'!$D:$D,'Modelling New'!$O:$O)*Plant_BD[[#This Row],[Lost PoA(kWh/m2)]]*Plant_BD[[#This Row],[DC Capacity Affected (kW)]]</f>
        <v>36.39190636055563</v>
      </c>
      <c r="AN94" s="6"/>
      <c r="AO94" s="6"/>
      <c r="AP94" s="224"/>
    </row>
    <row r="95" spans="1:42" x14ac:dyDescent="0.3">
      <c r="A95" s="171">
        <f t="shared" si="1"/>
        <v>94</v>
      </c>
      <c r="B95" s="200">
        <v>45751</v>
      </c>
      <c r="C95" s="212">
        <f>YEAR(Plant_BD[[#This Row],[Date]])+IF(MONTH(Plant_BD[[#This Row],[Date]])&gt;=4,1,0)</f>
        <v>2026</v>
      </c>
      <c r="D95" s="212">
        <f>YEAR(Plant_BD[[#This Row],[Date]])</f>
        <v>2025</v>
      </c>
      <c r="E95" s="77" t="s">
        <v>1070</v>
      </c>
      <c r="F95" s="77" t="s">
        <v>1070</v>
      </c>
      <c r="G95" s="213">
        <f>Plant_BD[[#This Row],[Date]]-DAY(Plant_BD[[#This Row],[Date]])+1</f>
        <v>45748</v>
      </c>
      <c r="H95" s="3">
        <f>DAY(EOMONTH(Plant_BD[[#This Row],[Month Year]],0))</f>
        <v>30</v>
      </c>
      <c r="I95" s="214">
        <f>_xlfn.XLOOKUP(Plant_BD[[#This Row],[Date]],'Raw Data'!$G:$G,'Raw Data'!$I:$I)</f>
        <v>0.25624999999999998</v>
      </c>
      <c r="J95" s="214">
        <f>_xlfn.XLOOKUP(Plant_BD[[#This Row],[Date]],'Raw Data'!$G:$G,'Raw Data'!$J:$J)</f>
        <v>0.77083333333333337</v>
      </c>
      <c r="K95" s="215">
        <f>IFERROR((Plant_BD[[#This Row],[Sunset Time (POA&lt;20 W/m2)]]-Plant_BD[[#This Row],[Sunrise Time (POA&gt;20 W/m2)]])*24,"")</f>
        <v>12.350000000000001</v>
      </c>
      <c r="L95" s="215"/>
      <c r="M95" s="215"/>
      <c r="N95" s="215"/>
      <c r="O95" s="215"/>
      <c r="P95" s="215"/>
      <c r="Q95" s="215"/>
      <c r="R95" s="215"/>
      <c r="S95" s="215"/>
      <c r="T95" s="216" t="s">
        <v>219</v>
      </c>
      <c r="U95" s="16">
        <f>IFERROR(_xlfn.XLOOKUP(Plant_BD[[#This Row],[Affected Equipment]],'Basic Data'!$A:$A,'Basic Data'!$B:$B),"")</f>
        <v>669.6</v>
      </c>
      <c r="V95" s="217">
        <f>IFERROR(_xlfn.XLOOKUP(Plant_BD[[#This Row],[Affected Equipment]],'Basic Data'!$A:$A,'Basic Data'!$C:$C),"")</f>
        <v>8.348190352703562E-2</v>
      </c>
      <c r="W95" s="218" t="s">
        <v>311</v>
      </c>
      <c r="X95" s="218" t="s">
        <v>1076</v>
      </c>
      <c r="Y95" s="218"/>
      <c r="Z95" s="219" t="s">
        <v>1076</v>
      </c>
      <c r="AA95" s="220">
        <v>0.68263888888888891</v>
      </c>
      <c r="AB95" s="220"/>
      <c r="AC95" s="220"/>
      <c r="AD95" s="220">
        <v>0.77083333333333337</v>
      </c>
      <c r="AE95" s="221">
        <f>IF(Plant_BD[[#This Row],[Acknowledgement Time ]]="NA","",(Plant_BD[[#This Row],[Acknowledgement Time ]]-Plant_BD[[#This Row],[Fault Time]])*24)</f>
        <v>-16.383333333333333</v>
      </c>
      <c r="AF95" s="221">
        <f>IF(Plant_BD[[#This Row],[Work Start time on Fault]]="NA","",(Plant_BD[[#This Row],[Work Start time on Fault]]-Plant_BD[[#This Row],[Fault Time]])*24)</f>
        <v>-16.383333333333333</v>
      </c>
      <c r="AG95" s="17">
        <f>(Plant_BD[[#This Row],[Work Completion time on fault]]-Plant_BD[[#This Row],[Fault Time]])*24</f>
        <v>2.1166666666666671</v>
      </c>
      <c r="AH95" s="17">
        <f>IFERROR((Plant_BD[[#This Row],[Work Completion time on fault]]-Plant_BD[[#This Row],[Fault Time]])*24,"")</f>
        <v>2.1166666666666671</v>
      </c>
      <c r="AI95" s="222" t="s">
        <v>1072</v>
      </c>
      <c r="AJ95" s="6" t="s">
        <v>1068</v>
      </c>
      <c r="AK95" s="223">
        <f>IFERROR(Plant_BD[[#This Row],[Breakdown Time]]*Plant_BD[[#This Row],[Plant Equivalent Weightage]],"")</f>
        <v>0.17670336246555876</v>
      </c>
      <c r="AL95" s="6">
        <v>0.45</v>
      </c>
      <c r="AM95" s="221">
        <f>_xlfn.XLOOKUP($G95,'Modelling New'!$D:$D,'Modelling New'!$O:$O)*Plant_BD[[#This Row],[Lost PoA(kWh/m2)]]*Plant_BD[[#This Row],[DC Capacity Affected (kW)]]</f>
        <v>203.47378506202449</v>
      </c>
      <c r="AN95" s="6"/>
      <c r="AO95" s="6"/>
      <c r="AP95" s="224"/>
    </row>
    <row r="96" spans="1:42" x14ac:dyDescent="0.3">
      <c r="A96" s="171">
        <f t="shared" si="1"/>
        <v>95</v>
      </c>
      <c r="B96" s="200">
        <v>45752</v>
      </c>
      <c r="C96" s="212">
        <f>YEAR(Plant_BD[[#This Row],[Date]])+IF(MONTH(Plant_BD[[#This Row],[Date]])&gt;=4,1,0)</f>
        <v>2026</v>
      </c>
      <c r="D96" s="212">
        <f>YEAR(Plant_BD[[#This Row],[Date]])</f>
        <v>2025</v>
      </c>
      <c r="E96" s="77" t="s">
        <v>1070</v>
      </c>
      <c r="F96" s="77" t="s">
        <v>1070</v>
      </c>
      <c r="G96" s="213">
        <f>Plant_BD[[#This Row],[Date]]-DAY(Plant_BD[[#This Row],[Date]])+1</f>
        <v>45748</v>
      </c>
      <c r="H96" s="3">
        <f>DAY(EOMONTH(Plant_BD[[#This Row],[Month Year]],0))</f>
        <v>30</v>
      </c>
      <c r="I96" s="214">
        <f>_xlfn.XLOOKUP(Plant_BD[[#This Row],[Date]],'Raw Data'!$G:$G,'Raw Data'!$I:$I)</f>
        <v>0.25833333333333336</v>
      </c>
      <c r="J96" s="214">
        <f>_xlfn.XLOOKUP(Plant_BD[[#This Row],[Date]],'Raw Data'!$G:$G,'Raw Data'!$J:$J)</f>
        <v>0.76875000000000004</v>
      </c>
      <c r="K96" s="215">
        <f>IFERROR((Plant_BD[[#This Row],[Sunset Time (POA&lt;20 W/m2)]]-Plant_BD[[#This Row],[Sunrise Time (POA&gt;20 W/m2)]])*24,"")</f>
        <v>12.250000000000002</v>
      </c>
      <c r="L96" s="215"/>
      <c r="M96" s="215"/>
      <c r="N96" s="215"/>
      <c r="O96" s="215"/>
      <c r="P96" s="215"/>
      <c r="Q96" s="215"/>
      <c r="R96" s="215"/>
      <c r="S96" s="215"/>
      <c r="T96" s="216" t="s">
        <v>219</v>
      </c>
      <c r="U96" s="16">
        <f>IFERROR(_xlfn.XLOOKUP(Plant_BD[[#This Row],[Affected Equipment]],'Basic Data'!$A:$A,'Basic Data'!$B:$B),"")</f>
        <v>669.6</v>
      </c>
      <c r="V96" s="217">
        <f>IFERROR(_xlfn.XLOOKUP(Plant_BD[[#This Row],[Affected Equipment]],'Basic Data'!$A:$A,'Basic Data'!$C:$C),"")</f>
        <v>8.348190352703562E-2</v>
      </c>
      <c r="W96" s="218" t="s">
        <v>311</v>
      </c>
      <c r="X96" s="218" t="s">
        <v>1076</v>
      </c>
      <c r="Y96" s="218"/>
      <c r="Z96" s="219" t="s">
        <v>1076</v>
      </c>
      <c r="AA96" s="220">
        <v>0.25833333333333336</v>
      </c>
      <c r="AB96" s="220"/>
      <c r="AC96" s="220"/>
      <c r="AD96" s="220">
        <v>0.40208333333333335</v>
      </c>
      <c r="AE96" s="221">
        <f>IF(Plant_BD[[#This Row],[Acknowledgement Time ]]="NA","",(Plant_BD[[#This Row],[Acknowledgement Time ]]-Plant_BD[[#This Row],[Fault Time]])*24)</f>
        <v>-6.2000000000000011</v>
      </c>
      <c r="AF96" s="221">
        <f>IF(Plant_BD[[#This Row],[Work Start time on Fault]]="NA","",(Plant_BD[[#This Row],[Work Start time on Fault]]-Plant_BD[[#This Row],[Fault Time]])*24)</f>
        <v>-6.2000000000000011</v>
      </c>
      <c r="AG96" s="17">
        <f>(Plant_BD[[#This Row],[Work Completion time on fault]]-Plant_BD[[#This Row],[Fault Time]])*24</f>
        <v>3.4499999999999997</v>
      </c>
      <c r="AH96" s="17">
        <f>IFERROR((Plant_BD[[#This Row],[Work Completion time on fault]]-Plant_BD[[#This Row],[Fault Time]])*24,"")</f>
        <v>3.4499999999999997</v>
      </c>
      <c r="AI96" s="222" t="s">
        <v>1072</v>
      </c>
      <c r="AJ96" s="6" t="s">
        <v>1068</v>
      </c>
      <c r="AK96" s="223">
        <f>IFERROR(Plant_BD[[#This Row],[Breakdown Time]]*Plant_BD[[#This Row],[Plant Equivalent Weightage]],"")</f>
        <v>0.28801256716827289</v>
      </c>
      <c r="AL96" s="6">
        <v>0.97</v>
      </c>
      <c r="AM96" s="221">
        <f>_xlfn.XLOOKUP($G96,'Modelling New'!$D:$D,'Modelling New'!$O:$O)*Plant_BD[[#This Row],[Lost PoA(kWh/m2)]]*Plant_BD[[#This Row],[DC Capacity Affected (kW)]]</f>
        <v>438.59904780036385</v>
      </c>
      <c r="AN96" s="6"/>
      <c r="AO96" s="6"/>
      <c r="AP96" s="224"/>
    </row>
    <row r="97" spans="1:42" x14ac:dyDescent="0.3">
      <c r="A97" s="171">
        <f t="shared" si="1"/>
        <v>96</v>
      </c>
      <c r="B97" s="200">
        <v>45752</v>
      </c>
      <c r="C97" s="212">
        <f>YEAR(Plant_BD[[#This Row],[Date]])+IF(MONTH(Plant_BD[[#This Row],[Date]])&gt;=4,1,0)</f>
        <v>2026</v>
      </c>
      <c r="D97" s="212">
        <f>YEAR(Plant_BD[[#This Row],[Date]])</f>
        <v>2025</v>
      </c>
      <c r="E97" s="77" t="s">
        <v>1070</v>
      </c>
      <c r="F97" s="77" t="s">
        <v>1070</v>
      </c>
      <c r="G97" s="213">
        <f>Plant_BD[[#This Row],[Date]]-DAY(Plant_BD[[#This Row],[Date]])+1</f>
        <v>45748</v>
      </c>
      <c r="H97" s="3">
        <f>DAY(EOMONTH(Plant_BD[[#This Row],[Month Year]],0))</f>
        <v>30</v>
      </c>
      <c r="I97" s="214">
        <f>_xlfn.XLOOKUP(Plant_BD[[#This Row],[Date]],'Raw Data'!$G:$G,'Raw Data'!$I:$I)</f>
        <v>0.25833333333333336</v>
      </c>
      <c r="J97" s="214">
        <f>_xlfn.XLOOKUP(Plant_BD[[#This Row],[Date]],'Raw Data'!$G:$G,'Raw Data'!$J:$J)</f>
        <v>0.76875000000000004</v>
      </c>
      <c r="K97" s="215">
        <f>IFERROR((Plant_BD[[#This Row],[Sunset Time (POA&lt;20 W/m2)]]-Plant_BD[[#This Row],[Sunrise Time (POA&gt;20 W/m2)]])*24,"")</f>
        <v>12.250000000000002</v>
      </c>
      <c r="L97" s="215"/>
      <c r="M97" s="215"/>
      <c r="N97" s="215"/>
      <c r="O97" s="215"/>
      <c r="P97" s="215"/>
      <c r="Q97" s="215"/>
      <c r="R97" s="215"/>
      <c r="S97" s="215"/>
      <c r="T97" s="216" t="s">
        <v>226</v>
      </c>
      <c r="U97" s="16">
        <f>IFERROR(_xlfn.XLOOKUP(Plant_BD[[#This Row],[Affected Equipment]],'Basic Data'!$A:$A,'Basic Data'!$B:$B),"")</f>
        <v>658.8</v>
      </c>
      <c r="V97" s="217">
        <f>IFERROR(_xlfn.XLOOKUP(Plant_BD[[#This Row],[Affected Equipment]],'Basic Data'!$A:$A,'Basic Data'!$C:$C),"")</f>
        <v>8.2135421212083434E-2</v>
      </c>
      <c r="W97" s="218" t="s">
        <v>291</v>
      </c>
      <c r="X97" s="218" t="s">
        <v>1075</v>
      </c>
      <c r="Y97" s="218"/>
      <c r="Z97" s="219" t="s">
        <v>1075</v>
      </c>
      <c r="AA97" s="220">
        <v>0.25833333333333336</v>
      </c>
      <c r="AB97" s="220"/>
      <c r="AC97" s="220"/>
      <c r="AD97" s="220">
        <v>0.55069444444444449</v>
      </c>
      <c r="AE97" s="221">
        <f>IF(Plant_BD[[#This Row],[Acknowledgement Time ]]="NA","",(Plant_BD[[#This Row],[Acknowledgement Time ]]-Plant_BD[[#This Row],[Fault Time]])*24)</f>
        <v>-6.2000000000000011</v>
      </c>
      <c r="AF97" s="221">
        <f>IF(Plant_BD[[#This Row],[Work Start time on Fault]]="NA","",(Plant_BD[[#This Row],[Work Start time on Fault]]-Plant_BD[[#This Row],[Fault Time]])*24)</f>
        <v>-6.2000000000000011</v>
      </c>
      <c r="AG97" s="17">
        <f>(Plant_BD[[#This Row],[Work Completion time on fault]]-Plant_BD[[#This Row],[Fault Time]])*24</f>
        <v>7.0166666666666675</v>
      </c>
      <c r="AH97" s="17">
        <f>IFERROR((Plant_BD[[#This Row],[Work Completion time on fault]]-Plant_BD[[#This Row],[Fault Time]])*24,"")</f>
        <v>7.0166666666666675</v>
      </c>
      <c r="AI97" s="222" t="s">
        <v>1072</v>
      </c>
      <c r="AJ97" s="6" t="s">
        <v>1068</v>
      </c>
      <c r="AK97" s="223">
        <f>IFERROR(Plant_BD[[#This Row],[Breakdown Time]]*Plant_BD[[#This Row],[Plant Equivalent Weightage]],"")</f>
        <v>0.57631687217145211</v>
      </c>
      <c r="AL97" s="6">
        <v>4.13</v>
      </c>
      <c r="AM97" s="221">
        <f>_xlfn.XLOOKUP($G97,'Modelling New'!$D:$D,'Modelling New'!$O:$O)*Plant_BD[[#This Row],[Lost PoA(kWh/m2)]]*Plant_BD[[#This Row],[DC Capacity Affected (kW)]]</f>
        <v>1837.3172283396352</v>
      </c>
      <c r="AN97" s="6"/>
      <c r="AO97" s="6"/>
      <c r="AP97" s="224"/>
    </row>
    <row r="98" spans="1:42" x14ac:dyDescent="0.3">
      <c r="A98" s="171">
        <f t="shared" si="1"/>
        <v>97</v>
      </c>
      <c r="B98" s="200">
        <v>45752</v>
      </c>
      <c r="C98" s="212">
        <f>YEAR(Plant_BD[[#This Row],[Date]])+IF(MONTH(Plant_BD[[#This Row],[Date]])&gt;=4,1,0)</f>
        <v>2026</v>
      </c>
      <c r="D98" s="212">
        <f>YEAR(Plant_BD[[#This Row],[Date]])</f>
        <v>2025</v>
      </c>
      <c r="E98" s="77" t="s">
        <v>1070</v>
      </c>
      <c r="F98" s="77" t="s">
        <v>1070</v>
      </c>
      <c r="G98" s="213">
        <f>Plant_BD[[#This Row],[Date]]-DAY(Plant_BD[[#This Row],[Date]])+1</f>
        <v>45748</v>
      </c>
      <c r="H98" s="3">
        <f>DAY(EOMONTH(Plant_BD[[#This Row],[Month Year]],0))</f>
        <v>30</v>
      </c>
      <c r="I98" s="214">
        <f>_xlfn.XLOOKUP(Plant_BD[[#This Row],[Date]],'Raw Data'!$G:$G,'Raw Data'!$I:$I)</f>
        <v>0.25833333333333336</v>
      </c>
      <c r="J98" s="214">
        <f>_xlfn.XLOOKUP(Plant_BD[[#This Row],[Date]],'Raw Data'!$G:$G,'Raw Data'!$J:$J)</f>
        <v>0.76875000000000004</v>
      </c>
      <c r="K98" s="215">
        <f>IFERROR((Plant_BD[[#This Row],[Sunset Time (POA&lt;20 W/m2)]]-Plant_BD[[#This Row],[Sunrise Time (POA&gt;20 W/m2)]])*24,"")</f>
        <v>12.250000000000002</v>
      </c>
      <c r="L98" s="215"/>
      <c r="M98" s="215"/>
      <c r="N98" s="215"/>
      <c r="O98" s="215"/>
      <c r="P98" s="215"/>
      <c r="Q98" s="215"/>
      <c r="R98" s="215"/>
      <c r="S98" s="215"/>
      <c r="T98" s="216" t="s">
        <v>168</v>
      </c>
      <c r="U98" s="16">
        <f>IFERROR(_xlfn.XLOOKUP(Plant_BD[[#This Row],[Affected Equipment]],'Basic Data'!$A:$A,'Basic Data'!$B:$B),"")</f>
        <v>2694.6</v>
      </c>
      <c r="V98" s="217">
        <f>IFERROR(_xlfn.XLOOKUP(Plant_BD[[#This Row],[Affected Equipment]],'Basic Data'!$A:$A,'Basic Data'!$C:$C),"")</f>
        <v>0.33594733758057077</v>
      </c>
      <c r="W98" s="218" t="s">
        <v>311</v>
      </c>
      <c r="X98" s="218" t="s">
        <v>1077</v>
      </c>
      <c r="Y98" s="218"/>
      <c r="Z98" s="219" t="s">
        <v>1077</v>
      </c>
      <c r="AA98" s="220">
        <v>0.40208333333333335</v>
      </c>
      <c r="AB98" s="220"/>
      <c r="AC98" s="220"/>
      <c r="AD98" s="220">
        <v>0.40763888888888888</v>
      </c>
      <c r="AE98" s="221">
        <f>IF(Plant_BD[[#This Row],[Acknowledgement Time ]]="NA","",(Plant_BD[[#This Row],[Acknowledgement Time ]]-Plant_BD[[#This Row],[Fault Time]])*24)</f>
        <v>-9.65</v>
      </c>
      <c r="AF98" s="221">
        <f>IF(Plant_BD[[#This Row],[Work Start time on Fault]]="NA","",(Plant_BD[[#This Row],[Work Start time on Fault]]-Plant_BD[[#This Row],[Fault Time]])*24)</f>
        <v>-9.65</v>
      </c>
      <c r="AG98" s="17">
        <f>(Plant_BD[[#This Row],[Work Completion time on fault]]-Plant_BD[[#This Row],[Fault Time]])*24</f>
        <v>0.13333333333333286</v>
      </c>
      <c r="AH98" s="17">
        <f>IFERROR((Plant_BD[[#This Row],[Work Completion time on fault]]-Plant_BD[[#This Row],[Fault Time]])*24,"")</f>
        <v>0.13333333333333286</v>
      </c>
      <c r="AI98" s="222" t="s">
        <v>1074</v>
      </c>
      <c r="AJ98" s="6" t="s">
        <v>1069</v>
      </c>
      <c r="AK98" s="223">
        <f>IFERROR(Plant_BD[[#This Row],[Breakdown Time]]*Plant_BD[[#This Row],[Plant Equivalent Weightage]],"")</f>
        <v>4.4792978344075945E-2</v>
      </c>
      <c r="AL98" s="6">
        <v>0.1</v>
      </c>
      <c r="AM98" s="221">
        <f>_xlfn.XLOOKUP($G98,'Modelling New'!$D:$D,'Modelling New'!$O:$O)*Plant_BD[[#This Row],[Lost PoA(kWh/m2)]]*Plant_BD[[#This Row],[DC Capacity Affected (kW)]]</f>
        <v>181.95953180277817</v>
      </c>
      <c r="AN98" s="6"/>
      <c r="AO98" s="6"/>
      <c r="AP98" s="224"/>
    </row>
    <row r="99" spans="1:42" x14ac:dyDescent="0.3">
      <c r="A99" s="171">
        <f t="shared" si="1"/>
        <v>98</v>
      </c>
      <c r="B99" s="200">
        <v>45752</v>
      </c>
      <c r="C99" s="212">
        <f>YEAR(Plant_BD[[#This Row],[Date]])+IF(MONTH(Plant_BD[[#This Row],[Date]])&gt;=4,1,0)</f>
        <v>2026</v>
      </c>
      <c r="D99" s="212">
        <f>YEAR(Plant_BD[[#This Row],[Date]])</f>
        <v>2025</v>
      </c>
      <c r="E99" s="77" t="s">
        <v>1070</v>
      </c>
      <c r="F99" s="77" t="s">
        <v>1070</v>
      </c>
      <c r="G99" s="213">
        <f>Plant_BD[[#This Row],[Date]]-DAY(Plant_BD[[#This Row],[Date]])+1</f>
        <v>45748</v>
      </c>
      <c r="H99" s="3">
        <f>DAY(EOMONTH(Plant_BD[[#This Row],[Month Year]],0))</f>
        <v>30</v>
      </c>
      <c r="I99" s="214">
        <f>_xlfn.XLOOKUP(Plant_BD[[#This Row],[Date]],'Raw Data'!$G:$G,'Raw Data'!$I:$I)</f>
        <v>0.25833333333333336</v>
      </c>
      <c r="J99" s="214">
        <f>_xlfn.XLOOKUP(Plant_BD[[#This Row],[Date]],'Raw Data'!$G:$G,'Raw Data'!$J:$J)</f>
        <v>0.76875000000000004</v>
      </c>
      <c r="K99" s="215">
        <f>IFERROR((Plant_BD[[#This Row],[Sunset Time (POA&lt;20 W/m2)]]-Plant_BD[[#This Row],[Sunrise Time (POA&gt;20 W/m2)]])*24,"")</f>
        <v>12.250000000000002</v>
      </c>
      <c r="L99" s="215"/>
      <c r="M99" s="215"/>
      <c r="N99" s="215"/>
      <c r="O99" s="215"/>
      <c r="P99" s="215"/>
      <c r="Q99" s="215"/>
      <c r="R99" s="215"/>
      <c r="S99" s="215"/>
      <c r="T99" s="216" t="s">
        <v>219</v>
      </c>
      <c r="U99" s="16">
        <f>IFERROR(_xlfn.XLOOKUP(Plant_BD[[#This Row],[Affected Equipment]],'Basic Data'!$A:$A,'Basic Data'!$B:$B),"")</f>
        <v>669.6</v>
      </c>
      <c r="V99" s="217">
        <f>IFERROR(_xlfn.XLOOKUP(Plant_BD[[#This Row],[Affected Equipment]],'Basic Data'!$A:$A,'Basic Data'!$C:$C),"")</f>
        <v>8.348190352703562E-2</v>
      </c>
      <c r="W99" s="218" t="s">
        <v>311</v>
      </c>
      <c r="X99" s="218" t="s">
        <v>1076</v>
      </c>
      <c r="Y99" s="218"/>
      <c r="Z99" s="219" t="s">
        <v>1076</v>
      </c>
      <c r="AA99" s="220">
        <v>0.40763888888888888</v>
      </c>
      <c r="AB99" s="220"/>
      <c r="AC99" s="220"/>
      <c r="AD99" s="220">
        <v>0.41249999999999998</v>
      </c>
      <c r="AE99" s="221">
        <f>IF(Plant_BD[[#This Row],[Acknowledgement Time ]]="NA","",(Plant_BD[[#This Row],[Acknowledgement Time ]]-Plant_BD[[#This Row],[Fault Time]])*24)</f>
        <v>-9.7833333333333332</v>
      </c>
      <c r="AF99" s="221">
        <f>IF(Plant_BD[[#This Row],[Work Start time on Fault]]="NA","",(Plant_BD[[#This Row],[Work Start time on Fault]]-Plant_BD[[#This Row],[Fault Time]])*24)</f>
        <v>-9.7833333333333332</v>
      </c>
      <c r="AG99" s="17">
        <f>(Plant_BD[[#This Row],[Work Completion time on fault]]-Plant_BD[[#This Row],[Fault Time]])*24</f>
        <v>0.11666666666666625</v>
      </c>
      <c r="AH99" s="17">
        <f>IFERROR((Plant_BD[[#This Row],[Work Completion time on fault]]-Plant_BD[[#This Row],[Fault Time]])*24,"")</f>
        <v>0.11666666666666625</v>
      </c>
      <c r="AI99" s="222" t="s">
        <v>1072</v>
      </c>
      <c r="AJ99" s="6" t="s">
        <v>1068</v>
      </c>
      <c r="AK99" s="223">
        <f>IFERROR(Plant_BD[[#This Row],[Breakdown Time]]*Plant_BD[[#This Row],[Plant Equivalent Weightage]],"")</f>
        <v>9.7395554114874539E-3</v>
      </c>
      <c r="AL99" s="6">
        <v>0.09</v>
      </c>
      <c r="AM99" s="221">
        <f>_xlfn.XLOOKUP($G99,'Modelling New'!$D:$D,'Modelling New'!$O:$O)*Plant_BD[[#This Row],[Lost PoA(kWh/m2)]]*Plant_BD[[#This Row],[DC Capacity Affected (kW)]]</f>
        <v>40.694757012404892</v>
      </c>
      <c r="AN99" s="6"/>
      <c r="AO99" s="6"/>
      <c r="AP99" s="224"/>
    </row>
    <row r="100" spans="1:42" x14ac:dyDescent="0.3">
      <c r="A100" s="171">
        <f t="shared" si="1"/>
        <v>99</v>
      </c>
      <c r="B100" s="200">
        <v>45752</v>
      </c>
      <c r="C100" s="212">
        <f>YEAR(Plant_BD[[#This Row],[Date]])+IF(MONTH(Plant_BD[[#This Row],[Date]])&gt;=4,1,0)</f>
        <v>2026</v>
      </c>
      <c r="D100" s="212">
        <f>YEAR(Plant_BD[[#This Row],[Date]])</f>
        <v>2025</v>
      </c>
      <c r="E100" s="77" t="s">
        <v>1070</v>
      </c>
      <c r="F100" s="77" t="s">
        <v>1070</v>
      </c>
      <c r="G100" s="213">
        <f>Plant_BD[[#This Row],[Date]]-DAY(Plant_BD[[#This Row],[Date]])+1</f>
        <v>45748</v>
      </c>
      <c r="H100" s="3">
        <f>DAY(EOMONTH(Plant_BD[[#This Row],[Month Year]],0))</f>
        <v>30</v>
      </c>
      <c r="I100" s="214">
        <f>_xlfn.XLOOKUP(Plant_BD[[#This Row],[Date]],'Raw Data'!$G:$G,'Raw Data'!$I:$I)</f>
        <v>0.25833333333333336</v>
      </c>
      <c r="J100" s="214">
        <f>_xlfn.XLOOKUP(Plant_BD[[#This Row],[Date]],'Raw Data'!$G:$G,'Raw Data'!$J:$J)</f>
        <v>0.76875000000000004</v>
      </c>
      <c r="K100" s="215">
        <f>IFERROR((Plant_BD[[#This Row],[Sunset Time (POA&lt;20 W/m2)]]-Plant_BD[[#This Row],[Sunrise Time (POA&gt;20 W/m2)]])*24,"")</f>
        <v>12.250000000000002</v>
      </c>
      <c r="L100" s="215"/>
      <c r="M100" s="215"/>
      <c r="N100" s="215"/>
      <c r="O100" s="215"/>
      <c r="P100" s="215"/>
      <c r="Q100" s="215"/>
      <c r="R100" s="215"/>
      <c r="S100" s="215"/>
      <c r="T100" s="216" t="s">
        <v>168</v>
      </c>
      <c r="U100" s="16">
        <f>IFERROR(_xlfn.XLOOKUP(Plant_BD[[#This Row],[Affected Equipment]],'Basic Data'!$A:$A,'Basic Data'!$B:$B),"")</f>
        <v>2694.6</v>
      </c>
      <c r="V100" s="217">
        <f>IFERROR(_xlfn.XLOOKUP(Plant_BD[[#This Row],[Affected Equipment]],'Basic Data'!$A:$A,'Basic Data'!$C:$C),"")</f>
        <v>0.33594733758057077</v>
      </c>
      <c r="W100" s="218" t="s">
        <v>311</v>
      </c>
      <c r="X100" s="218" t="s">
        <v>1077</v>
      </c>
      <c r="Y100" s="218"/>
      <c r="Z100" s="219" t="s">
        <v>1077</v>
      </c>
      <c r="AA100" s="220">
        <v>0.41249999999999998</v>
      </c>
      <c r="AB100" s="220"/>
      <c r="AC100" s="220"/>
      <c r="AD100" s="220">
        <v>0.41805555555555557</v>
      </c>
      <c r="AE100" s="221">
        <f>IF(Plant_BD[[#This Row],[Acknowledgement Time ]]="NA","",(Plant_BD[[#This Row],[Acknowledgement Time ]]-Plant_BD[[#This Row],[Fault Time]])*24)</f>
        <v>-9.8999999999999986</v>
      </c>
      <c r="AF100" s="221">
        <f>IF(Plant_BD[[#This Row],[Work Start time on Fault]]="NA","",(Plant_BD[[#This Row],[Work Start time on Fault]]-Plant_BD[[#This Row],[Fault Time]])*24)</f>
        <v>-9.8999999999999986</v>
      </c>
      <c r="AG100" s="17">
        <f>(Plant_BD[[#This Row],[Work Completion time on fault]]-Plant_BD[[#This Row],[Fault Time]])*24</f>
        <v>0.13333333333333419</v>
      </c>
      <c r="AH100" s="17">
        <f>IFERROR((Plant_BD[[#This Row],[Work Completion time on fault]]-Plant_BD[[#This Row],[Fault Time]])*24,"")</f>
        <v>0.13333333333333419</v>
      </c>
      <c r="AI100" s="222" t="s">
        <v>1074</v>
      </c>
      <c r="AJ100" s="6" t="s">
        <v>1069</v>
      </c>
      <c r="AK100" s="223">
        <f>IFERROR(Plant_BD[[#This Row],[Breakdown Time]]*Plant_BD[[#This Row],[Plant Equivalent Weightage]],"")</f>
        <v>4.479297834407639E-2</v>
      </c>
      <c r="AL100" s="6">
        <v>0.1</v>
      </c>
      <c r="AM100" s="221">
        <f>_xlfn.XLOOKUP($G100,'Modelling New'!$D:$D,'Modelling New'!$O:$O)*Plant_BD[[#This Row],[Lost PoA(kWh/m2)]]*Plant_BD[[#This Row],[DC Capacity Affected (kW)]]</f>
        <v>181.95953180277817</v>
      </c>
      <c r="AN100" s="6"/>
      <c r="AO100" s="6"/>
      <c r="AP100" s="224"/>
    </row>
    <row r="101" spans="1:42" x14ac:dyDescent="0.3">
      <c r="A101" s="171">
        <f t="shared" si="1"/>
        <v>100</v>
      </c>
      <c r="B101" s="200">
        <v>45752</v>
      </c>
      <c r="C101" s="212">
        <f>YEAR(Plant_BD[[#This Row],[Date]])+IF(MONTH(Plant_BD[[#This Row],[Date]])&gt;=4,1,0)</f>
        <v>2026</v>
      </c>
      <c r="D101" s="212">
        <f>YEAR(Plant_BD[[#This Row],[Date]])</f>
        <v>2025</v>
      </c>
      <c r="E101" s="77" t="s">
        <v>1070</v>
      </c>
      <c r="F101" s="77" t="s">
        <v>1070</v>
      </c>
      <c r="G101" s="213">
        <f>Plant_BD[[#This Row],[Date]]-DAY(Plant_BD[[#This Row],[Date]])+1</f>
        <v>45748</v>
      </c>
      <c r="H101" s="3">
        <f>DAY(EOMONTH(Plant_BD[[#This Row],[Month Year]],0))</f>
        <v>30</v>
      </c>
      <c r="I101" s="214">
        <f>_xlfn.XLOOKUP(Plant_BD[[#This Row],[Date]],'Raw Data'!$G:$G,'Raw Data'!$I:$I)</f>
        <v>0.25833333333333336</v>
      </c>
      <c r="J101" s="214">
        <f>_xlfn.XLOOKUP(Plant_BD[[#This Row],[Date]],'Raw Data'!$G:$G,'Raw Data'!$J:$J)</f>
        <v>0.76875000000000004</v>
      </c>
      <c r="K101" s="215">
        <f>IFERROR((Plant_BD[[#This Row],[Sunset Time (POA&lt;20 W/m2)]]-Plant_BD[[#This Row],[Sunrise Time (POA&gt;20 W/m2)]])*24,"")</f>
        <v>12.250000000000002</v>
      </c>
      <c r="L101" s="215"/>
      <c r="M101" s="215"/>
      <c r="N101" s="215"/>
      <c r="O101" s="215"/>
      <c r="P101" s="215"/>
      <c r="Q101" s="215"/>
      <c r="R101" s="215"/>
      <c r="S101" s="215"/>
      <c r="T101" s="216" t="s">
        <v>219</v>
      </c>
      <c r="U101" s="16">
        <f>IFERROR(_xlfn.XLOOKUP(Plant_BD[[#This Row],[Affected Equipment]],'Basic Data'!$A:$A,'Basic Data'!$B:$B),"")</f>
        <v>669.6</v>
      </c>
      <c r="V101" s="217">
        <f>IFERROR(_xlfn.XLOOKUP(Plant_BD[[#This Row],[Affected Equipment]],'Basic Data'!$A:$A,'Basic Data'!$C:$C),"")</f>
        <v>8.348190352703562E-2</v>
      </c>
      <c r="W101" s="218" t="s">
        <v>311</v>
      </c>
      <c r="X101" s="218" t="s">
        <v>1076</v>
      </c>
      <c r="Y101" s="218"/>
      <c r="Z101" s="219" t="s">
        <v>1076</v>
      </c>
      <c r="AA101" s="220">
        <v>0.41805555555555557</v>
      </c>
      <c r="AB101" s="220"/>
      <c r="AC101" s="220"/>
      <c r="AD101" s="220">
        <v>0.42291666666666666</v>
      </c>
      <c r="AE101" s="221">
        <f>IF(Plant_BD[[#This Row],[Acknowledgement Time ]]="NA","",(Plant_BD[[#This Row],[Acknowledgement Time ]]-Plant_BD[[#This Row],[Fault Time]])*24)</f>
        <v>-10.033333333333333</v>
      </c>
      <c r="AF101" s="221">
        <f>IF(Plant_BD[[#This Row],[Work Start time on Fault]]="NA","",(Plant_BD[[#This Row],[Work Start time on Fault]]-Plant_BD[[#This Row],[Fault Time]])*24)</f>
        <v>-10.033333333333333</v>
      </c>
      <c r="AG101" s="17">
        <f>(Plant_BD[[#This Row],[Work Completion time on fault]]-Plant_BD[[#This Row],[Fault Time]])*24</f>
        <v>0.11666666666666625</v>
      </c>
      <c r="AH101" s="17">
        <f>IFERROR((Plant_BD[[#This Row],[Work Completion time on fault]]-Plant_BD[[#This Row],[Fault Time]])*24,"")</f>
        <v>0.11666666666666625</v>
      </c>
      <c r="AI101" s="222" t="s">
        <v>1072</v>
      </c>
      <c r="AJ101" s="6" t="s">
        <v>1068</v>
      </c>
      <c r="AK101" s="223">
        <f>IFERROR(Plant_BD[[#This Row],[Breakdown Time]]*Plant_BD[[#This Row],[Plant Equivalent Weightage]],"")</f>
        <v>9.7395554114874539E-3</v>
      </c>
      <c r="AL101" s="6">
        <v>0.09</v>
      </c>
      <c r="AM101" s="221">
        <f>_xlfn.XLOOKUP($G101,'Modelling New'!$D:$D,'Modelling New'!$O:$O)*Plant_BD[[#This Row],[Lost PoA(kWh/m2)]]*Plant_BD[[#This Row],[DC Capacity Affected (kW)]]</f>
        <v>40.694757012404892</v>
      </c>
      <c r="AN101" s="6"/>
      <c r="AO101" s="6"/>
      <c r="AP101" s="224"/>
    </row>
    <row r="102" spans="1:42" x14ac:dyDescent="0.3">
      <c r="A102" s="171">
        <f t="shared" si="1"/>
        <v>101</v>
      </c>
      <c r="B102" s="200">
        <v>45752</v>
      </c>
      <c r="C102" s="212">
        <f>YEAR(Plant_BD[[#This Row],[Date]])+IF(MONTH(Plant_BD[[#This Row],[Date]])&gt;=4,1,0)</f>
        <v>2026</v>
      </c>
      <c r="D102" s="212">
        <f>YEAR(Plant_BD[[#This Row],[Date]])</f>
        <v>2025</v>
      </c>
      <c r="E102" s="77" t="s">
        <v>1070</v>
      </c>
      <c r="F102" s="77" t="s">
        <v>1070</v>
      </c>
      <c r="G102" s="213">
        <f>Plant_BD[[#This Row],[Date]]-DAY(Plant_BD[[#This Row],[Date]])+1</f>
        <v>45748</v>
      </c>
      <c r="H102" s="3">
        <f>DAY(EOMONTH(Plant_BD[[#This Row],[Month Year]],0))</f>
        <v>30</v>
      </c>
      <c r="I102" s="214">
        <f>_xlfn.XLOOKUP(Plant_BD[[#This Row],[Date]],'Raw Data'!$G:$G,'Raw Data'!$I:$I)</f>
        <v>0.25833333333333336</v>
      </c>
      <c r="J102" s="214">
        <f>_xlfn.XLOOKUP(Plant_BD[[#This Row],[Date]],'Raw Data'!$G:$G,'Raw Data'!$J:$J)</f>
        <v>0.76875000000000004</v>
      </c>
      <c r="K102" s="215">
        <f>IFERROR((Plant_BD[[#This Row],[Sunset Time (POA&lt;20 W/m2)]]-Plant_BD[[#This Row],[Sunrise Time (POA&gt;20 W/m2)]])*24,"")</f>
        <v>12.250000000000002</v>
      </c>
      <c r="L102" s="215"/>
      <c r="M102" s="215"/>
      <c r="N102" s="215"/>
      <c r="O102" s="215"/>
      <c r="P102" s="215"/>
      <c r="Q102" s="215"/>
      <c r="R102" s="215"/>
      <c r="S102" s="215"/>
      <c r="T102" s="216" t="s">
        <v>168</v>
      </c>
      <c r="U102" s="16">
        <f>IFERROR(_xlfn.XLOOKUP(Plant_BD[[#This Row],[Affected Equipment]],'Basic Data'!$A:$A,'Basic Data'!$B:$B),"")</f>
        <v>2694.6</v>
      </c>
      <c r="V102" s="217">
        <f>IFERROR(_xlfn.XLOOKUP(Plant_BD[[#This Row],[Affected Equipment]],'Basic Data'!$A:$A,'Basic Data'!$C:$C),"")</f>
        <v>0.33594733758057077</v>
      </c>
      <c r="W102" s="218" t="s">
        <v>311</v>
      </c>
      <c r="X102" s="218" t="s">
        <v>1077</v>
      </c>
      <c r="Y102" s="218"/>
      <c r="Z102" s="219" t="s">
        <v>1077</v>
      </c>
      <c r="AA102" s="220">
        <v>0.42291666666666666</v>
      </c>
      <c r="AB102" s="220"/>
      <c r="AC102" s="220"/>
      <c r="AD102" s="220">
        <v>0.42916666666666664</v>
      </c>
      <c r="AE102" s="221">
        <f>IF(Plant_BD[[#This Row],[Acknowledgement Time ]]="NA","",(Plant_BD[[#This Row],[Acknowledgement Time ]]-Plant_BD[[#This Row],[Fault Time]])*24)</f>
        <v>-10.15</v>
      </c>
      <c r="AF102" s="221">
        <f>IF(Plant_BD[[#This Row],[Work Start time on Fault]]="NA","",(Plant_BD[[#This Row],[Work Start time on Fault]]-Plant_BD[[#This Row],[Fault Time]])*24)</f>
        <v>-10.15</v>
      </c>
      <c r="AG102" s="17">
        <f>(Plant_BD[[#This Row],[Work Completion time on fault]]-Plant_BD[[#This Row],[Fault Time]])*24</f>
        <v>0.14999999999999947</v>
      </c>
      <c r="AH102" s="17">
        <f>IFERROR((Plant_BD[[#This Row],[Work Completion time on fault]]-Plant_BD[[#This Row],[Fault Time]])*24,"")</f>
        <v>0.14999999999999947</v>
      </c>
      <c r="AI102" s="222" t="s">
        <v>1074</v>
      </c>
      <c r="AJ102" s="6" t="s">
        <v>1069</v>
      </c>
      <c r="AK102" s="223">
        <f>IFERROR(Plant_BD[[#This Row],[Breakdown Time]]*Plant_BD[[#This Row],[Plant Equivalent Weightage]],"")</f>
        <v>5.0392100637085435E-2</v>
      </c>
      <c r="AL102" s="6">
        <v>0.12</v>
      </c>
      <c r="AM102" s="221">
        <f>_xlfn.XLOOKUP($G102,'Modelling New'!$D:$D,'Modelling New'!$O:$O)*Plant_BD[[#This Row],[Lost PoA(kWh/m2)]]*Plant_BD[[#This Row],[DC Capacity Affected (kW)]]</f>
        <v>218.3514381633338</v>
      </c>
      <c r="AN102" s="6"/>
      <c r="AO102" s="6"/>
      <c r="AP102" s="224"/>
    </row>
    <row r="103" spans="1:42" x14ac:dyDescent="0.3">
      <c r="A103" s="171">
        <f t="shared" si="1"/>
        <v>102</v>
      </c>
      <c r="B103" s="200">
        <v>45752</v>
      </c>
      <c r="C103" s="212">
        <f>YEAR(Plant_BD[[#This Row],[Date]])+IF(MONTH(Plant_BD[[#This Row],[Date]])&gt;=4,1,0)</f>
        <v>2026</v>
      </c>
      <c r="D103" s="212">
        <f>YEAR(Plant_BD[[#This Row],[Date]])</f>
        <v>2025</v>
      </c>
      <c r="E103" s="77" t="s">
        <v>1070</v>
      </c>
      <c r="F103" s="77" t="s">
        <v>1070</v>
      </c>
      <c r="G103" s="213">
        <f>Plant_BD[[#This Row],[Date]]-DAY(Plant_BD[[#This Row],[Date]])+1</f>
        <v>45748</v>
      </c>
      <c r="H103" s="3">
        <f>DAY(EOMONTH(Plant_BD[[#This Row],[Month Year]],0))</f>
        <v>30</v>
      </c>
      <c r="I103" s="214">
        <f>_xlfn.XLOOKUP(Plant_BD[[#This Row],[Date]],'Raw Data'!$G:$G,'Raw Data'!$I:$I)</f>
        <v>0.25833333333333336</v>
      </c>
      <c r="J103" s="214">
        <f>_xlfn.XLOOKUP(Plant_BD[[#This Row],[Date]],'Raw Data'!$G:$G,'Raw Data'!$J:$J)</f>
        <v>0.76875000000000004</v>
      </c>
      <c r="K103" s="215">
        <f>IFERROR((Plant_BD[[#This Row],[Sunset Time (POA&lt;20 W/m2)]]-Plant_BD[[#This Row],[Sunrise Time (POA&gt;20 W/m2)]])*24,"")</f>
        <v>12.250000000000002</v>
      </c>
      <c r="L103" s="215"/>
      <c r="M103" s="215"/>
      <c r="N103" s="215"/>
      <c r="O103" s="215"/>
      <c r="P103" s="215"/>
      <c r="Q103" s="215"/>
      <c r="R103" s="215"/>
      <c r="S103" s="215"/>
      <c r="T103" s="216" t="s">
        <v>219</v>
      </c>
      <c r="U103" s="16">
        <f>IFERROR(_xlfn.XLOOKUP(Plant_BD[[#This Row],[Affected Equipment]],'Basic Data'!$A:$A,'Basic Data'!$B:$B),"")</f>
        <v>669.6</v>
      </c>
      <c r="V103" s="217">
        <f>IFERROR(_xlfn.XLOOKUP(Plant_BD[[#This Row],[Affected Equipment]],'Basic Data'!$A:$A,'Basic Data'!$C:$C),"")</f>
        <v>8.348190352703562E-2</v>
      </c>
      <c r="W103" s="218" t="s">
        <v>311</v>
      </c>
      <c r="X103" s="218" t="s">
        <v>1076</v>
      </c>
      <c r="Y103" s="218"/>
      <c r="Z103" s="219" t="s">
        <v>1076</v>
      </c>
      <c r="AA103" s="220">
        <v>0.42916666666666664</v>
      </c>
      <c r="AB103" s="220"/>
      <c r="AC103" s="220"/>
      <c r="AD103" s="220">
        <v>0.46250000000000002</v>
      </c>
      <c r="AE103" s="221">
        <f>IF(Plant_BD[[#This Row],[Acknowledgement Time ]]="NA","",(Plant_BD[[#This Row],[Acknowledgement Time ]]-Plant_BD[[#This Row],[Fault Time]])*24)</f>
        <v>-10.299999999999999</v>
      </c>
      <c r="AF103" s="221">
        <f>IF(Plant_BD[[#This Row],[Work Start time on Fault]]="NA","",(Plant_BD[[#This Row],[Work Start time on Fault]]-Plant_BD[[#This Row],[Fault Time]])*24)</f>
        <v>-10.299999999999999</v>
      </c>
      <c r="AG103" s="17">
        <f>(Plant_BD[[#This Row],[Work Completion time on fault]]-Plant_BD[[#This Row],[Fault Time]])*24</f>
        <v>0.80000000000000115</v>
      </c>
      <c r="AH103" s="17">
        <f>IFERROR((Plant_BD[[#This Row],[Work Completion time on fault]]-Plant_BD[[#This Row],[Fault Time]])*24,"")</f>
        <v>0.80000000000000115</v>
      </c>
      <c r="AI103" s="222" t="s">
        <v>1072</v>
      </c>
      <c r="AJ103" s="6" t="s">
        <v>1068</v>
      </c>
      <c r="AK103" s="223">
        <f>IFERROR(Plant_BD[[#This Row],[Breakdown Time]]*Plant_BD[[#This Row],[Plant Equivalent Weightage]],"")</f>
        <v>6.6785522821628598E-2</v>
      </c>
      <c r="AL103" s="6">
        <v>0.68</v>
      </c>
      <c r="AM103" s="221">
        <f>_xlfn.XLOOKUP($G103,'Modelling New'!$D:$D,'Modelling New'!$O:$O)*Plant_BD[[#This Row],[Lost PoA(kWh/m2)]]*Plant_BD[[#This Row],[DC Capacity Affected (kW)]]</f>
        <v>307.47149742705926</v>
      </c>
      <c r="AN103" s="6"/>
      <c r="AO103" s="6"/>
      <c r="AP103" s="224"/>
    </row>
    <row r="104" spans="1:42" x14ac:dyDescent="0.3">
      <c r="A104" s="171">
        <f t="shared" si="1"/>
        <v>103</v>
      </c>
      <c r="B104" s="200">
        <v>45752</v>
      </c>
      <c r="C104" s="212">
        <f>YEAR(Plant_BD[[#This Row],[Date]])+IF(MONTH(Plant_BD[[#This Row],[Date]])&gt;=4,1,0)</f>
        <v>2026</v>
      </c>
      <c r="D104" s="212">
        <f>YEAR(Plant_BD[[#This Row],[Date]])</f>
        <v>2025</v>
      </c>
      <c r="E104" s="77" t="s">
        <v>1070</v>
      </c>
      <c r="F104" s="77" t="s">
        <v>1070</v>
      </c>
      <c r="G104" s="213">
        <f>Plant_BD[[#This Row],[Date]]-DAY(Plant_BD[[#This Row],[Date]])+1</f>
        <v>45748</v>
      </c>
      <c r="H104" s="3">
        <f>DAY(EOMONTH(Plant_BD[[#This Row],[Month Year]],0))</f>
        <v>30</v>
      </c>
      <c r="I104" s="214">
        <f>_xlfn.XLOOKUP(Plant_BD[[#This Row],[Date]],'Raw Data'!$G:$G,'Raw Data'!$I:$I)</f>
        <v>0.25833333333333336</v>
      </c>
      <c r="J104" s="214">
        <f>_xlfn.XLOOKUP(Plant_BD[[#This Row],[Date]],'Raw Data'!$G:$G,'Raw Data'!$J:$J)</f>
        <v>0.76875000000000004</v>
      </c>
      <c r="K104" s="215">
        <f>IFERROR((Plant_BD[[#This Row],[Sunset Time (POA&lt;20 W/m2)]]-Plant_BD[[#This Row],[Sunrise Time (POA&gt;20 W/m2)]])*24,"")</f>
        <v>12.250000000000002</v>
      </c>
      <c r="L104" s="215"/>
      <c r="M104" s="215"/>
      <c r="N104" s="215"/>
      <c r="O104" s="215"/>
      <c r="P104" s="215"/>
      <c r="Q104" s="215"/>
      <c r="R104" s="215"/>
      <c r="S104" s="215"/>
      <c r="T104" s="216" t="s">
        <v>220</v>
      </c>
      <c r="U104" s="16">
        <f>IFERROR(_xlfn.XLOOKUP(Plant_BD[[#This Row],[Affected Equipment]],'Basic Data'!$A:$A,'Basic Data'!$B:$B),"")</f>
        <v>669.6</v>
      </c>
      <c r="V104" s="217">
        <f>IFERROR(_xlfn.XLOOKUP(Plant_BD[[#This Row],[Affected Equipment]],'Basic Data'!$A:$A,'Basic Data'!$C:$C),"")</f>
        <v>8.348190352703562E-2</v>
      </c>
      <c r="W104" s="218" t="s">
        <v>311</v>
      </c>
      <c r="X104" s="218" t="s">
        <v>1078</v>
      </c>
      <c r="Y104" s="218"/>
      <c r="Z104" s="219" t="s">
        <v>1078</v>
      </c>
      <c r="AA104" s="220">
        <v>0.42916666666666664</v>
      </c>
      <c r="AB104" s="220"/>
      <c r="AC104" s="220"/>
      <c r="AD104" s="220">
        <v>0.46250000000000002</v>
      </c>
      <c r="AE104" s="221">
        <f>IF(Plant_BD[[#This Row],[Acknowledgement Time ]]="NA","",(Plant_BD[[#This Row],[Acknowledgement Time ]]-Plant_BD[[#This Row],[Fault Time]])*24)</f>
        <v>-10.299999999999999</v>
      </c>
      <c r="AF104" s="221">
        <f>IF(Plant_BD[[#This Row],[Work Start time on Fault]]="NA","",(Plant_BD[[#This Row],[Work Start time on Fault]]-Plant_BD[[#This Row],[Fault Time]])*24)</f>
        <v>-10.299999999999999</v>
      </c>
      <c r="AG104" s="17">
        <f>(Plant_BD[[#This Row],[Work Completion time on fault]]-Plant_BD[[#This Row],[Fault Time]])*24</f>
        <v>0.80000000000000115</v>
      </c>
      <c r="AH104" s="17">
        <f>IFERROR((Plant_BD[[#This Row],[Work Completion time on fault]]-Plant_BD[[#This Row],[Fault Time]])*24,"")</f>
        <v>0.80000000000000115</v>
      </c>
      <c r="AI104" s="222" t="s">
        <v>1072</v>
      </c>
      <c r="AJ104" s="6" t="s">
        <v>1068</v>
      </c>
      <c r="AK104" s="223">
        <f>IFERROR(Plant_BD[[#This Row],[Breakdown Time]]*Plant_BD[[#This Row],[Plant Equivalent Weightage]],"")</f>
        <v>6.6785522821628598E-2</v>
      </c>
      <c r="AL104" s="6">
        <v>0.68</v>
      </c>
      <c r="AM104" s="221">
        <f>_xlfn.XLOOKUP($G104,'Modelling New'!$D:$D,'Modelling New'!$O:$O)*Plant_BD[[#This Row],[Lost PoA(kWh/m2)]]*Plant_BD[[#This Row],[DC Capacity Affected (kW)]]</f>
        <v>307.47149742705926</v>
      </c>
      <c r="AN104" s="6"/>
      <c r="AO104" s="6"/>
      <c r="AP104" s="224"/>
    </row>
    <row r="105" spans="1:42" x14ac:dyDescent="0.3">
      <c r="A105" s="171">
        <f t="shared" si="1"/>
        <v>104</v>
      </c>
      <c r="B105" s="200">
        <v>45752</v>
      </c>
      <c r="C105" s="212">
        <f>YEAR(Plant_BD[[#This Row],[Date]])+IF(MONTH(Plant_BD[[#This Row],[Date]])&gt;=4,1,0)</f>
        <v>2026</v>
      </c>
      <c r="D105" s="212">
        <f>YEAR(Plant_BD[[#This Row],[Date]])</f>
        <v>2025</v>
      </c>
      <c r="E105" s="77" t="s">
        <v>1070</v>
      </c>
      <c r="F105" s="77" t="s">
        <v>1070</v>
      </c>
      <c r="G105" s="213">
        <f>Plant_BD[[#This Row],[Date]]-DAY(Plant_BD[[#This Row],[Date]])+1</f>
        <v>45748</v>
      </c>
      <c r="H105" s="3">
        <f>DAY(EOMONTH(Plant_BD[[#This Row],[Month Year]],0))</f>
        <v>30</v>
      </c>
      <c r="I105" s="214">
        <f>_xlfn.XLOOKUP(Plant_BD[[#This Row],[Date]],'Raw Data'!$G:$G,'Raw Data'!$I:$I)</f>
        <v>0.25833333333333336</v>
      </c>
      <c r="J105" s="214">
        <f>_xlfn.XLOOKUP(Plant_BD[[#This Row],[Date]],'Raw Data'!$G:$G,'Raw Data'!$J:$J)</f>
        <v>0.76875000000000004</v>
      </c>
      <c r="K105" s="215">
        <f>IFERROR((Plant_BD[[#This Row],[Sunset Time (POA&lt;20 W/m2)]]-Plant_BD[[#This Row],[Sunrise Time (POA&gt;20 W/m2)]])*24,"")</f>
        <v>12.250000000000002</v>
      </c>
      <c r="L105" s="215"/>
      <c r="M105" s="215"/>
      <c r="N105" s="215"/>
      <c r="O105" s="215"/>
      <c r="P105" s="215"/>
      <c r="Q105" s="215"/>
      <c r="R105" s="215"/>
      <c r="S105" s="215"/>
      <c r="T105" s="216" t="s">
        <v>168</v>
      </c>
      <c r="U105" s="16">
        <f>IFERROR(_xlfn.XLOOKUP(Plant_BD[[#This Row],[Affected Equipment]],'Basic Data'!$A:$A,'Basic Data'!$B:$B),"")</f>
        <v>2694.6</v>
      </c>
      <c r="V105" s="217">
        <f>IFERROR(_xlfn.XLOOKUP(Plant_BD[[#This Row],[Affected Equipment]],'Basic Data'!$A:$A,'Basic Data'!$C:$C),"")</f>
        <v>0.33594733758057077</v>
      </c>
      <c r="W105" s="218" t="s">
        <v>311</v>
      </c>
      <c r="X105" s="218" t="s">
        <v>1077</v>
      </c>
      <c r="Y105" s="218"/>
      <c r="Z105" s="219" t="s">
        <v>1077</v>
      </c>
      <c r="AA105" s="220">
        <v>0.46250000000000002</v>
      </c>
      <c r="AB105" s="220"/>
      <c r="AC105" s="220"/>
      <c r="AD105" s="220">
        <v>0.46875</v>
      </c>
      <c r="AE105" s="221">
        <f>IF(Plant_BD[[#This Row],[Acknowledgement Time ]]="NA","",(Plant_BD[[#This Row],[Acknowledgement Time ]]-Plant_BD[[#This Row],[Fault Time]])*24)</f>
        <v>-11.100000000000001</v>
      </c>
      <c r="AF105" s="221">
        <f>IF(Plant_BD[[#This Row],[Work Start time on Fault]]="NA","",(Plant_BD[[#This Row],[Work Start time on Fault]]-Plant_BD[[#This Row],[Fault Time]])*24)</f>
        <v>-11.100000000000001</v>
      </c>
      <c r="AG105" s="17">
        <f>(Plant_BD[[#This Row],[Work Completion time on fault]]-Plant_BD[[#This Row],[Fault Time]])*24</f>
        <v>0.14999999999999947</v>
      </c>
      <c r="AH105" s="17">
        <f>IFERROR((Plant_BD[[#This Row],[Work Completion time on fault]]-Plant_BD[[#This Row],[Fault Time]])*24,"")</f>
        <v>0.14999999999999947</v>
      </c>
      <c r="AI105" s="222" t="s">
        <v>1074</v>
      </c>
      <c r="AJ105" s="6" t="s">
        <v>1069</v>
      </c>
      <c r="AK105" s="223">
        <f>IFERROR(Plant_BD[[#This Row],[Breakdown Time]]*Plant_BD[[#This Row],[Plant Equivalent Weightage]],"")</f>
        <v>5.0392100637085435E-2</v>
      </c>
      <c r="AL105" s="6">
        <v>0.13</v>
      </c>
      <c r="AM105" s="221">
        <f>_xlfn.XLOOKUP($G105,'Modelling New'!$D:$D,'Modelling New'!$O:$O)*Plant_BD[[#This Row],[Lost PoA(kWh/m2)]]*Plant_BD[[#This Row],[DC Capacity Affected (kW)]]</f>
        <v>236.54739134361159</v>
      </c>
      <c r="AN105" s="6"/>
      <c r="AO105" s="6"/>
      <c r="AP105" s="224"/>
    </row>
    <row r="106" spans="1:42" x14ac:dyDescent="0.3">
      <c r="A106" s="171">
        <f t="shared" si="1"/>
        <v>105</v>
      </c>
      <c r="B106" s="200">
        <v>45752</v>
      </c>
      <c r="C106" s="212">
        <f>YEAR(Plant_BD[[#This Row],[Date]])+IF(MONTH(Plant_BD[[#This Row],[Date]])&gt;=4,1,0)</f>
        <v>2026</v>
      </c>
      <c r="D106" s="212">
        <f>YEAR(Plant_BD[[#This Row],[Date]])</f>
        <v>2025</v>
      </c>
      <c r="E106" s="77" t="s">
        <v>1070</v>
      </c>
      <c r="F106" s="77" t="s">
        <v>1070</v>
      </c>
      <c r="G106" s="213">
        <f>Plant_BD[[#This Row],[Date]]-DAY(Plant_BD[[#This Row],[Date]])+1</f>
        <v>45748</v>
      </c>
      <c r="H106" s="3">
        <f>DAY(EOMONTH(Plant_BD[[#This Row],[Month Year]],0))</f>
        <v>30</v>
      </c>
      <c r="I106" s="214">
        <f>_xlfn.XLOOKUP(Plant_BD[[#This Row],[Date]],'Raw Data'!$G:$G,'Raw Data'!$I:$I)</f>
        <v>0.25833333333333336</v>
      </c>
      <c r="J106" s="214">
        <f>_xlfn.XLOOKUP(Plant_BD[[#This Row],[Date]],'Raw Data'!$G:$G,'Raw Data'!$J:$J)</f>
        <v>0.76875000000000004</v>
      </c>
      <c r="K106" s="215">
        <f>IFERROR((Plant_BD[[#This Row],[Sunset Time (POA&lt;20 W/m2)]]-Plant_BD[[#This Row],[Sunrise Time (POA&gt;20 W/m2)]])*24,"")</f>
        <v>12.250000000000002</v>
      </c>
      <c r="L106" s="215"/>
      <c r="M106" s="215"/>
      <c r="N106" s="215"/>
      <c r="O106" s="215"/>
      <c r="P106" s="215"/>
      <c r="Q106" s="215"/>
      <c r="R106" s="215"/>
      <c r="S106" s="215"/>
      <c r="T106" s="216" t="s">
        <v>219</v>
      </c>
      <c r="U106" s="16">
        <f>IFERROR(_xlfn.XLOOKUP(Plant_BD[[#This Row],[Affected Equipment]],'Basic Data'!$A:$A,'Basic Data'!$B:$B),"")</f>
        <v>669.6</v>
      </c>
      <c r="V106" s="217">
        <f>IFERROR(_xlfn.XLOOKUP(Plant_BD[[#This Row],[Affected Equipment]],'Basic Data'!$A:$A,'Basic Data'!$C:$C),"")</f>
        <v>8.348190352703562E-2</v>
      </c>
      <c r="W106" s="218" t="s">
        <v>311</v>
      </c>
      <c r="X106" s="218" t="s">
        <v>1076</v>
      </c>
      <c r="Y106" s="218"/>
      <c r="Z106" s="219" t="s">
        <v>1076</v>
      </c>
      <c r="AA106" s="220">
        <v>0.46875</v>
      </c>
      <c r="AB106" s="220"/>
      <c r="AC106" s="220"/>
      <c r="AD106" s="220">
        <v>0.48819444444444443</v>
      </c>
      <c r="AE106" s="221">
        <f>IF(Plant_BD[[#This Row],[Acknowledgement Time ]]="NA","",(Plant_BD[[#This Row],[Acknowledgement Time ]]-Plant_BD[[#This Row],[Fault Time]])*24)</f>
        <v>-11.25</v>
      </c>
      <c r="AF106" s="221">
        <f>IF(Plant_BD[[#This Row],[Work Start time on Fault]]="NA","",(Plant_BD[[#This Row],[Work Start time on Fault]]-Plant_BD[[#This Row],[Fault Time]])*24)</f>
        <v>-11.25</v>
      </c>
      <c r="AG106" s="17">
        <f>(Plant_BD[[#This Row],[Work Completion time on fault]]-Plant_BD[[#This Row],[Fault Time]])*24</f>
        <v>0.46666666666666634</v>
      </c>
      <c r="AH106" s="17">
        <f>IFERROR((Plant_BD[[#This Row],[Work Completion time on fault]]-Plant_BD[[#This Row],[Fault Time]])*24,"")</f>
        <v>0.46666666666666634</v>
      </c>
      <c r="AI106" s="222" t="s">
        <v>1072</v>
      </c>
      <c r="AJ106" s="6" t="s">
        <v>1068</v>
      </c>
      <c r="AK106" s="223">
        <f>IFERROR(Plant_BD[[#This Row],[Breakdown Time]]*Plant_BD[[#This Row],[Plant Equivalent Weightage]],"")</f>
        <v>3.8958221645949927E-2</v>
      </c>
      <c r="AL106" s="6">
        <v>0.44</v>
      </c>
      <c r="AM106" s="221">
        <f>_xlfn.XLOOKUP($G106,'Modelling New'!$D:$D,'Modelling New'!$O:$O)*Plant_BD[[#This Row],[Lost PoA(kWh/m2)]]*Plant_BD[[#This Row],[DC Capacity Affected (kW)]]</f>
        <v>198.95214539397952</v>
      </c>
      <c r="AN106" s="6"/>
      <c r="AO106" s="6"/>
      <c r="AP106" s="224"/>
    </row>
    <row r="107" spans="1:42" x14ac:dyDescent="0.3">
      <c r="A107" s="171">
        <f t="shared" si="1"/>
        <v>106</v>
      </c>
      <c r="B107" s="200">
        <v>45752</v>
      </c>
      <c r="C107" s="212">
        <f>YEAR(Plant_BD[[#This Row],[Date]])+IF(MONTH(Plant_BD[[#This Row],[Date]])&gt;=4,1,0)</f>
        <v>2026</v>
      </c>
      <c r="D107" s="212">
        <f>YEAR(Plant_BD[[#This Row],[Date]])</f>
        <v>2025</v>
      </c>
      <c r="E107" s="77" t="s">
        <v>1070</v>
      </c>
      <c r="F107" s="77" t="s">
        <v>1070</v>
      </c>
      <c r="G107" s="213">
        <f>Plant_BD[[#This Row],[Date]]-DAY(Plant_BD[[#This Row],[Date]])+1</f>
        <v>45748</v>
      </c>
      <c r="H107" s="3">
        <f>DAY(EOMONTH(Plant_BD[[#This Row],[Month Year]],0))</f>
        <v>30</v>
      </c>
      <c r="I107" s="214">
        <f>_xlfn.XLOOKUP(Plant_BD[[#This Row],[Date]],'Raw Data'!$G:$G,'Raw Data'!$I:$I)</f>
        <v>0.25833333333333336</v>
      </c>
      <c r="J107" s="214">
        <f>_xlfn.XLOOKUP(Plant_BD[[#This Row],[Date]],'Raw Data'!$G:$G,'Raw Data'!$J:$J)</f>
        <v>0.76875000000000004</v>
      </c>
      <c r="K107" s="215">
        <f>IFERROR((Plant_BD[[#This Row],[Sunset Time (POA&lt;20 W/m2)]]-Plant_BD[[#This Row],[Sunrise Time (POA&gt;20 W/m2)]])*24,"")</f>
        <v>12.250000000000002</v>
      </c>
      <c r="L107" s="215"/>
      <c r="M107" s="215"/>
      <c r="N107" s="215"/>
      <c r="O107" s="215"/>
      <c r="P107" s="215"/>
      <c r="Q107" s="215"/>
      <c r="R107" s="215"/>
      <c r="S107" s="215"/>
      <c r="T107" s="216" t="s">
        <v>220</v>
      </c>
      <c r="U107" s="16">
        <f>IFERROR(_xlfn.XLOOKUP(Plant_BD[[#This Row],[Affected Equipment]],'Basic Data'!$A:$A,'Basic Data'!$B:$B),"")</f>
        <v>669.6</v>
      </c>
      <c r="V107" s="217">
        <f>IFERROR(_xlfn.XLOOKUP(Plant_BD[[#This Row],[Affected Equipment]],'Basic Data'!$A:$A,'Basic Data'!$C:$C),"")</f>
        <v>8.348190352703562E-2</v>
      </c>
      <c r="W107" s="218" t="s">
        <v>311</v>
      </c>
      <c r="X107" s="218" t="s">
        <v>1078</v>
      </c>
      <c r="Y107" s="218"/>
      <c r="Z107" s="219" t="s">
        <v>1078</v>
      </c>
      <c r="AA107" s="220">
        <v>0.46875</v>
      </c>
      <c r="AB107" s="220"/>
      <c r="AC107" s="220"/>
      <c r="AD107" s="220">
        <v>0.48819444444444443</v>
      </c>
      <c r="AE107" s="221">
        <f>IF(Plant_BD[[#This Row],[Acknowledgement Time ]]="NA","",(Plant_BD[[#This Row],[Acknowledgement Time ]]-Plant_BD[[#This Row],[Fault Time]])*24)</f>
        <v>-11.25</v>
      </c>
      <c r="AF107" s="221">
        <f>IF(Plant_BD[[#This Row],[Work Start time on Fault]]="NA","",(Plant_BD[[#This Row],[Work Start time on Fault]]-Plant_BD[[#This Row],[Fault Time]])*24)</f>
        <v>-11.25</v>
      </c>
      <c r="AG107" s="17">
        <f>(Plant_BD[[#This Row],[Work Completion time on fault]]-Plant_BD[[#This Row],[Fault Time]])*24</f>
        <v>0.46666666666666634</v>
      </c>
      <c r="AH107" s="17">
        <f>IFERROR((Plant_BD[[#This Row],[Work Completion time on fault]]-Plant_BD[[#This Row],[Fault Time]])*24,"")</f>
        <v>0.46666666666666634</v>
      </c>
      <c r="AI107" s="222" t="s">
        <v>1072</v>
      </c>
      <c r="AJ107" s="6" t="s">
        <v>1068</v>
      </c>
      <c r="AK107" s="223">
        <f>IFERROR(Plant_BD[[#This Row],[Breakdown Time]]*Plant_BD[[#This Row],[Plant Equivalent Weightage]],"")</f>
        <v>3.8958221645949927E-2</v>
      </c>
      <c r="AL107" s="6">
        <v>0.44</v>
      </c>
      <c r="AM107" s="221">
        <f>_xlfn.XLOOKUP($G107,'Modelling New'!$D:$D,'Modelling New'!$O:$O)*Plant_BD[[#This Row],[Lost PoA(kWh/m2)]]*Plant_BD[[#This Row],[DC Capacity Affected (kW)]]</f>
        <v>198.95214539397952</v>
      </c>
      <c r="AN107" s="6"/>
      <c r="AO107" s="6"/>
      <c r="AP107" s="224"/>
    </row>
    <row r="108" spans="1:42" x14ac:dyDescent="0.3">
      <c r="A108" s="171">
        <f t="shared" si="1"/>
        <v>107</v>
      </c>
      <c r="B108" s="200">
        <v>45752</v>
      </c>
      <c r="C108" s="212">
        <f>YEAR(Plant_BD[[#This Row],[Date]])+IF(MONTH(Plant_BD[[#This Row],[Date]])&gt;=4,1,0)</f>
        <v>2026</v>
      </c>
      <c r="D108" s="212">
        <f>YEAR(Plant_BD[[#This Row],[Date]])</f>
        <v>2025</v>
      </c>
      <c r="E108" s="77" t="s">
        <v>1070</v>
      </c>
      <c r="F108" s="77" t="s">
        <v>1070</v>
      </c>
      <c r="G108" s="213">
        <f>Plant_BD[[#This Row],[Date]]-DAY(Plant_BD[[#This Row],[Date]])+1</f>
        <v>45748</v>
      </c>
      <c r="H108" s="3">
        <f>DAY(EOMONTH(Plant_BD[[#This Row],[Month Year]],0))</f>
        <v>30</v>
      </c>
      <c r="I108" s="214">
        <f>_xlfn.XLOOKUP(Plant_BD[[#This Row],[Date]],'Raw Data'!$G:$G,'Raw Data'!$I:$I)</f>
        <v>0.25833333333333336</v>
      </c>
      <c r="J108" s="214">
        <f>_xlfn.XLOOKUP(Plant_BD[[#This Row],[Date]],'Raw Data'!$G:$G,'Raw Data'!$J:$J)</f>
        <v>0.76875000000000004</v>
      </c>
      <c r="K108" s="215">
        <f>IFERROR((Plant_BD[[#This Row],[Sunset Time (POA&lt;20 W/m2)]]-Plant_BD[[#This Row],[Sunrise Time (POA&gt;20 W/m2)]])*24,"")</f>
        <v>12.250000000000002</v>
      </c>
      <c r="L108" s="215"/>
      <c r="M108" s="215"/>
      <c r="N108" s="215"/>
      <c r="O108" s="215"/>
      <c r="P108" s="215"/>
      <c r="Q108" s="215"/>
      <c r="R108" s="215"/>
      <c r="S108" s="215"/>
      <c r="T108" s="216" t="s">
        <v>168</v>
      </c>
      <c r="U108" s="16">
        <f>IFERROR(_xlfn.XLOOKUP(Plant_BD[[#This Row],[Affected Equipment]],'Basic Data'!$A:$A,'Basic Data'!$B:$B),"")</f>
        <v>2694.6</v>
      </c>
      <c r="V108" s="217">
        <f>IFERROR(_xlfn.XLOOKUP(Plant_BD[[#This Row],[Affected Equipment]],'Basic Data'!$A:$A,'Basic Data'!$C:$C),"")</f>
        <v>0.33594733758057077</v>
      </c>
      <c r="W108" s="218" t="s">
        <v>311</v>
      </c>
      <c r="X108" s="218" t="s">
        <v>1077</v>
      </c>
      <c r="Y108" s="218"/>
      <c r="Z108" s="219" t="s">
        <v>1077</v>
      </c>
      <c r="AA108" s="220">
        <v>0.48819444444444443</v>
      </c>
      <c r="AB108" s="220"/>
      <c r="AC108" s="220"/>
      <c r="AD108" s="220">
        <v>0.50902777777777775</v>
      </c>
      <c r="AE108" s="221">
        <f>IF(Plant_BD[[#This Row],[Acknowledgement Time ]]="NA","",(Plant_BD[[#This Row],[Acknowledgement Time ]]-Plant_BD[[#This Row],[Fault Time]])*24)</f>
        <v>-11.716666666666667</v>
      </c>
      <c r="AF108" s="221">
        <f>IF(Plant_BD[[#This Row],[Work Start time on Fault]]="NA","",(Plant_BD[[#This Row],[Work Start time on Fault]]-Plant_BD[[#This Row],[Fault Time]])*24)</f>
        <v>-11.716666666666667</v>
      </c>
      <c r="AG108" s="17">
        <f>(Plant_BD[[#This Row],[Work Completion time on fault]]-Plant_BD[[#This Row],[Fault Time]])*24</f>
        <v>0.49999999999999956</v>
      </c>
      <c r="AH108" s="17">
        <f>IFERROR((Plant_BD[[#This Row],[Work Completion time on fault]]-Plant_BD[[#This Row],[Fault Time]])*24,"")</f>
        <v>0.49999999999999956</v>
      </c>
      <c r="AI108" s="222" t="s">
        <v>1074</v>
      </c>
      <c r="AJ108" s="6" t="s">
        <v>1069</v>
      </c>
      <c r="AK108" s="223">
        <f>IFERROR(Plant_BD[[#This Row],[Breakdown Time]]*Plant_BD[[#This Row],[Plant Equivalent Weightage]],"")</f>
        <v>0.16797366879028525</v>
      </c>
      <c r="AL108" s="6">
        <v>0.49</v>
      </c>
      <c r="AM108" s="221">
        <f>_xlfn.XLOOKUP($G108,'Modelling New'!$D:$D,'Modelling New'!$O:$O)*Plant_BD[[#This Row],[Lost PoA(kWh/m2)]]*Plant_BD[[#This Row],[DC Capacity Affected (kW)]]</f>
        <v>891.60170583361287</v>
      </c>
      <c r="AN108" s="6"/>
      <c r="AO108" s="6"/>
      <c r="AP108" s="224"/>
    </row>
    <row r="109" spans="1:42" x14ac:dyDescent="0.3">
      <c r="A109" s="171">
        <f t="shared" si="1"/>
        <v>108</v>
      </c>
      <c r="B109" s="200">
        <v>45752</v>
      </c>
      <c r="C109" s="212">
        <f>YEAR(Plant_BD[[#This Row],[Date]])+IF(MONTH(Plant_BD[[#This Row],[Date]])&gt;=4,1,0)</f>
        <v>2026</v>
      </c>
      <c r="D109" s="212">
        <f>YEAR(Plant_BD[[#This Row],[Date]])</f>
        <v>2025</v>
      </c>
      <c r="E109" s="77" t="s">
        <v>1070</v>
      </c>
      <c r="F109" s="77" t="s">
        <v>1070</v>
      </c>
      <c r="G109" s="213">
        <f>Plant_BD[[#This Row],[Date]]-DAY(Plant_BD[[#This Row],[Date]])+1</f>
        <v>45748</v>
      </c>
      <c r="H109" s="3">
        <f>DAY(EOMONTH(Plant_BD[[#This Row],[Month Year]],0))</f>
        <v>30</v>
      </c>
      <c r="I109" s="214">
        <f>_xlfn.XLOOKUP(Plant_BD[[#This Row],[Date]],'Raw Data'!$G:$G,'Raw Data'!$I:$I)</f>
        <v>0.25833333333333336</v>
      </c>
      <c r="J109" s="214">
        <f>_xlfn.XLOOKUP(Plant_BD[[#This Row],[Date]],'Raw Data'!$G:$G,'Raw Data'!$J:$J)</f>
        <v>0.76875000000000004</v>
      </c>
      <c r="K109" s="215">
        <f>IFERROR((Plant_BD[[#This Row],[Sunset Time (POA&lt;20 W/m2)]]-Plant_BD[[#This Row],[Sunrise Time (POA&gt;20 W/m2)]])*24,"")</f>
        <v>12.250000000000002</v>
      </c>
      <c r="L109" s="215"/>
      <c r="M109" s="215"/>
      <c r="N109" s="215"/>
      <c r="O109" s="215"/>
      <c r="P109" s="215"/>
      <c r="Q109" s="215"/>
      <c r="R109" s="215"/>
      <c r="S109" s="215"/>
      <c r="T109" s="216" t="s">
        <v>219</v>
      </c>
      <c r="U109" s="16">
        <f>IFERROR(_xlfn.XLOOKUP(Plant_BD[[#This Row],[Affected Equipment]],'Basic Data'!$A:$A,'Basic Data'!$B:$B),"")</f>
        <v>669.6</v>
      </c>
      <c r="V109" s="217">
        <f>IFERROR(_xlfn.XLOOKUP(Plant_BD[[#This Row],[Affected Equipment]],'Basic Data'!$A:$A,'Basic Data'!$C:$C),"")</f>
        <v>8.348190352703562E-2</v>
      </c>
      <c r="W109" s="218" t="s">
        <v>311</v>
      </c>
      <c r="X109" s="218" t="s">
        <v>1076</v>
      </c>
      <c r="Y109" s="218"/>
      <c r="Z109" s="219" t="s">
        <v>1076</v>
      </c>
      <c r="AA109" s="220">
        <v>0.50902777777777775</v>
      </c>
      <c r="AB109" s="220"/>
      <c r="AC109" s="220"/>
      <c r="AD109" s="220">
        <v>0.51597222222222228</v>
      </c>
      <c r="AE109" s="221">
        <f>IF(Plant_BD[[#This Row],[Acknowledgement Time ]]="NA","",(Plant_BD[[#This Row],[Acknowledgement Time ]]-Plant_BD[[#This Row],[Fault Time]])*24)</f>
        <v>-12.216666666666665</v>
      </c>
      <c r="AF109" s="221">
        <f>IF(Plant_BD[[#This Row],[Work Start time on Fault]]="NA","",(Plant_BD[[#This Row],[Work Start time on Fault]]-Plant_BD[[#This Row],[Fault Time]])*24)</f>
        <v>-12.216666666666665</v>
      </c>
      <c r="AG109" s="17">
        <f>(Plant_BD[[#This Row],[Work Completion time on fault]]-Plant_BD[[#This Row],[Fault Time]])*24</f>
        <v>0.16666666666666874</v>
      </c>
      <c r="AH109" s="17">
        <f>IFERROR((Plant_BD[[#This Row],[Work Completion time on fault]]-Plant_BD[[#This Row],[Fault Time]])*24,"")</f>
        <v>0.16666666666666874</v>
      </c>
      <c r="AI109" s="222" t="s">
        <v>1072</v>
      </c>
      <c r="AJ109" s="6" t="s">
        <v>1068</v>
      </c>
      <c r="AK109" s="223">
        <f>IFERROR(Plant_BD[[#This Row],[Breakdown Time]]*Plant_BD[[#This Row],[Plant Equivalent Weightage]],"")</f>
        <v>1.3913650587839443E-2</v>
      </c>
      <c r="AL109" s="6">
        <v>0.17</v>
      </c>
      <c r="AM109" s="221">
        <f>_xlfn.XLOOKUP($G109,'Modelling New'!$D:$D,'Modelling New'!$O:$O)*Plant_BD[[#This Row],[Lost PoA(kWh/m2)]]*Plant_BD[[#This Row],[DC Capacity Affected (kW)]]</f>
        <v>76.867874356764816</v>
      </c>
      <c r="AN109" s="6"/>
      <c r="AO109" s="6"/>
      <c r="AP109" s="224"/>
    </row>
    <row r="110" spans="1:42" x14ac:dyDescent="0.3">
      <c r="A110" s="171">
        <f t="shared" si="1"/>
        <v>109</v>
      </c>
      <c r="B110" s="200">
        <v>45752</v>
      </c>
      <c r="C110" s="212">
        <f>YEAR(Plant_BD[[#This Row],[Date]])+IF(MONTH(Plant_BD[[#This Row],[Date]])&gt;=4,1,0)</f>
        <v>2026</v>
      </c>
      <c r="D110" s="212">
        <f>YEAR(Plant_BD[[#This Row],[Date]])</f>
        <v>2025</v>
      </c>
      <c r="E110" s="77" t="s">
        <v>1070</v>
      </c>
      <c r="F110" s="77" t="s">
        <v>1070</v>
      </c>
      <c r="G110" s="213">
        <f>Plant_BD[[#This Row],[Date]]-DAY(Plant_BD[[#This Row],[Date]])+1</f>
        <v>45748</v>
      </c>
      <c r="H110" s="3">
        <f>DAY(EOMONTH(Plant_BD[[#This Row],[Month Year]],0))</f>
        <v>30</v>
      </c>
      <c r="I110" s="214">
        <f>_xlfn.XLOOKUP(Plant_BD[[#This Row],[Date]],'Raw Data'!$G:$G,'Raw Data'!$I:$I)</f>
        <v>0.25833333333333336</v>
      </c>
      <c r="J110" s="214">
        <f>_xlfn.XLOOKUP(Plant_BD[[#This Row],[Date]],'Raw Data'!$G:$G,'Raw Data'!$J:$J)</f>
        <v>0.76875000000000004</v>
      </c>
      <c r="K110" s="215">
        <f>IFERROR((Plant_BD[[#This Row],[Sunset Time (POA&lt;20 W/m2)]]-Plant_BD[[#This Row],[Sunrise Time (POA&gt;20 W/m2)]])*24,"")</f>
        <v>12.250000000000002</v>
      </c>
      <c r="L110" s="215"/>
      <c r="M110" s="215"/>
      <c r="N110" s="215"/>
      <c r="O110" s="215"/>
      <c r="P110" s="215"/>
      <c r="Q110" s="215"/>
      <c r="R110" s="215"/>
      <c r="S110" s="215"/>
      <c r="T110" s="216" t="s">
        <v>220</v>
      </c>
      <c r="U110" s="16">
        <f>IFERROR(_xlfn.XLOOKUP(Plant_BD[[#This Row],[Affected Equipment]],'Basic Data'!$A:$A,'Basic Data'!$B:$B),"")</f>
        <v>669.6</v>
      </c>
      <c r="V110" s="217">
        <f>IFERROR(_xlfn.XLOOKUP(Plant_BD[[#This Row],[Affected Equipment]],'Basic Data'!$A:$A,'Basic Data'!$C:$C),"")</f>
        <v>8.348190352703562E-2</v>
      </c>
      <c r="W110" s="218" t="s">
        <v>311</v>
      </c>
      <c r="X110" s="218" t="s">
        <v>1078</v>
      </c>
      <c r="Y110" s="218"/>
      <c r="Z110" s="219" t="s">
        <v>1078</v>
      </c>
      <c r="AA110" s="220">
        <v>0.50902777777777775</v>
      </c>
      <c r="AB110" s="220"/>
      <c r="AC110" s="220"/>
      <c r="AD110" s="220">
        <v>0.51597222222222228</v>
      </c>
      <c r="AE110" s="221">
        <f>IF(Plant_BD[[#This Row],[Acknowledgement Time ]]="NA","",(Plant_BD[[#This Row],[Acknowledgement Time ]]-Plant_BD[[#This Row],[Fault Time]])*24)</f>
        <v>-12.216666666666665</v>
      </c>
      <c r="AF110" s="221">
        <f>IF(Plant_BD[[#This Row],[Work Start time on Fault]]="NA","",(Plant_BD[[#This Row],[Work Start time on Fault]]-Plant_BD[[#This Row],[Fault Time]])*24)</f>
        <v>-12.216666666666665</v>
      </c>
      <c r="AG110" s="17">
        <f>(Plant_BD[[#This Row],[Work Completion time on fault]]-Plant_BD[[#This Row],[Fault Time]])*24</f>
        <v>0.16666666666666874</v>
      </c>
      <c r="AH110" s="17">
        <f>IFERROR((Plant_BD[[#This Row],[Work Completion time on fault]]-Plant_BD[[#This Row],[Fault Time]])*24,"")</f>
        <v>0.16666666666666874</v>
      </c>
      <c r="AI110" s="222" t="s">
        <v>1072</v>
      </c>
      <c r="AJ110" s="6" t="s">
        <v>1068</v>
      </c>
      <c r="AK110" s="223">
        <f>IFERROR(Plant_BD[[#This Row],[Breakdown Time]]*Plant_BD[[#This Row],[Plant Equivalent Weightage]],"")</f>
        <v>1.3913650587839443E-2</v>
      </c>
      <c r="AL110" s="6">
        <v>0.17</v>
      </c>
      <c r="AM110" s="221">
        <f>_xlfn.XLOOKUP($G110,'Modelling New'!$D:$D,'Modelling New'!$O:$O)*Plant_BD[[#This Row],[Lost PoA(kWh/m2)]]*Plant_BD[[#This Row],[DC Capacity Affected (kW)]]</f>
        <v>76.867874356764816</v>
      </c>
      <c r="AN110" s="6"/>
      <c r="AO110" s="6"/>
      <c r="AP110" s="224"/>
    </row>
    <row r="111" spans="1:42" x14ac:dyDescent="0.3">
      <c r="A111" s="171">
        <f t="shared" si="1"/>
        <v>110</v>
      </c>
      <c r="B111" s="200">
        <v>45752</v>
      </c>
      <c r="C111" s="212">
        <f>YEAR(Plant_BD[[#This Row],[Date]])+IF(MONTH(Plant_BD[[#This Row],[Date]])&gt;=4,1,0)</f>
        <v>2026</v>
      </c>
      <c r="D111" s="212">
        <f>YEAR(Plant_BD[[#This Row],[Date]])</f>
        <v>2025</v>
      </c>
      <c r="E111" s="77" t="s">
        <v>1070</v>
      </c>
      <c r="F111" s="77" t="s">
        <v>1070</v>
      </c>
      <c r="G111" s="213">
        <f>Plant_BD[[#This Row],[Date]]-DAY(Plant_BD[[#This Row],[Date]])+1</f>
        <v>45748</v>
      </c>
      <c r="H111" s="3">
        <f>DAY(EOMONTH(Plant_BD[[#This Row],[Month Year]],0))</f>
        <v>30</v>
      </c>
      <c r="I111" s="214">
        <f>_xlfn.XLOOKUP(Plant_BD[[#This Row],[Date]],'Raw Data'!$G:$G,'Raw Data'!$I:$I)</f>
        <v>0.25833333333333336</v>
      </c>
      <c r="J111" s="214">
        <f>_xlfn.XLOOKUP(Plant_BD[[#This Row],[Date]],'Raw Data'!$G:$G,'Raw Data'!$J:$J)</f>
        <v>0.76875000000000004</v>
      </c>
      <c r="K111" s="215">
        <f>IFERROR((Plant_BD[[#This Row],[Sunset Time (POA&lt;20 W/m2)]]-Plant_BD[[#This Row],[Sunrise Time (POA&gt;20 W/m2)]])*24,"")</f>
        <v>12.250000000000002</v>
      </c>
      <c r="L111" s="215"/>
      <c r="M111" s="215"/>
      <c r="N111" s="215"/>
      <c r="O111" s="215"/>
      <c r="P111" s="215"/>
      <c r="Q111" s="215"/>
      <c r="R111" s="215"/>
      <c r="S111" s="215"/>
      <c r="T111" s="216" t="s">
        <v>168</v>
      </c>
      <c r="U111" s="16">
        <f>IFERROR(_xlfn.XLOOKUP(Plant_BD[[#This Row],[Affected Equipment]],'Basic Data'!$A:$A,'Basic Data'!$B:$B),"")</f>
        <v>2694.6</v>
      </c>
      <c r="V111" s="217">
        <f>IFERROR(_xlfn.XLOOKUP(Plant_BD[[#This Row],[Affected Equipment]],'Basic Data'!$A:$A,'Basic Data'!$C:$C),"")</f>
        <v>0.33594733758057077</v>
      </c>
      <c r="W111" s="218" t="s">
        <v>311</v>
      </c>
      <c r="X111" s="218" t="s">
        <v>1077</v>
      </c>
      <c r="Y111" s="218"/>
      <c r="Z111" s="219" t="s">
        <v>1077</v>
      </c>
      <c r="AA111" s="220">
        <v>0.51597222222222228</v>
      </c>
      <c r="AB111" s="220"/>
      <c r="AC111" s="220"/>
      <c r="AD111" s="220">
        <v>0.52430555555555558</v>
      </c>
      <c r="AE111" s="221">
        <f>IF(Plant_BD[[#This Row],[Acknowledgement Time ]]="NA","",(Plant_BD[[#This Row],[Acknowledgement Time ]]-Plant_BD[[#This Row],[Fault Time]])*24)</f>
        <v>-12.383333333333335</v>
      </c>
      <c r="AF111" s="221">
        <f>IF(Plant_BD[[#This Row],[Work Start time on Fault]]="NA","",(Plant_BD[[#This Row],[Work Start time on Fault]]-Plant_BD[[#This Row],[Fault Time]])*24)</f>
        <v>-12.383333333333335</v>
      </c>
      <c r="AG111" s="17">
        <f>(Plant_BD[[#This Row],[Work Completion time on fault]]-Plant_BD[[#This Row],[Fault Time]])*24</f>
        <v>0.19999999999999929</v>
      </c>
      <c r="AH111" s="17">
        <f>IFERROR((Plant_BD[[#This Row],[Work Completion time on fault]]-Plant_BD[[#This Row],[Fault Time]])*24,"")</f>
        <v>0.19999999999999929</v>
      </c>
      <c r="AI111" s="222" t="s">
        <v>1074</v>
      </c>
      <c r="AJ111" s="6" t="s">
        <v>1069</v>
      </c>
      <c r="AK111" s="223">
        <f>IFERROR(Plant_BD[[#This Row],[Breakdown Time]]*Plant_BD[[#This Row],[Plant Equivalent Weightage]],"")</f>
        <v>6.7189467516113918E-2</v>
      </c>
      <c r="AL111" s="6">
        <v>0.21</v>
      </c>
      <c r="AM111" s="221">
        <f>_xlfn.XLOOKUP($G111,'Modelling New'!$D:$D,'Modelling New'!$O:$O)*Plant_BD[[#This Row],[Lost PoA(kWh/m2)]]*Plant_BD[[#This Row],[DC Capacity Affected (kW)]]</f>
        <v>382.11501678583409</v>
      </c>
      <c r="AN111" s="6"/>
      <c r="AO111" s="6"/>
      <c r="AP111" s="224"/>
    </row>
    <row r="112" spans="1:42" x14ac:dyDescent="0.3">
      <c r="A112" s="171">
        <f t="shared" si="1"/>
        <v>111</v>
      </c>
      <c r="B112" s="200">
        <v>45752</v>
      </c>
      <c r="C112" s="212">
        <f>YEAR(Plant_BD[[#This Row],[Date]])+IF(MONTH(Plant_BD[[#This Row],[Date]])&gt;=4,1,0)</f>
        <v>2026</v>
      </c>
      <c r="D112" s="212">
        <f>YEAR(Plant_BD[[#This Row],[Date]])</f>
        <v>2025</v>
      </c>
      <c r="E112" s="77" t="s">
        <v>1070</v>
      </c>
      <c r="F112" s="77" t="s">
        <v>1070</v>
      </c>
      <c r="G112" s="213">
        <f>Plant_BD[[#This Row],[Date]]-DAY(Plant_BD[[#This Row],[Date]])+1</f>
        <v>45748</v>
      </c>
      <c r="H112" s="3">
        <f>DAY(EOMONTH(Plant_BD[[#This Row],[Month Year]],0))</f>
        <v>30</v>
      </c>
      <c r="I112" s="214">
        <f>_xlfn.XLOOKUP(Plant_BD[[#This Row],[Date]],'Raw Data'!$G:$G,'Raw Data'!$I:$I)</f>
        <v>0.25833333333333336</v>
      </c>
      <c r="J112" s="214">
        <f>_xlfn.XLOOKUP(Plant_BD[[#This Row],[Date]],'Raw Data'!$G:$G,'Raw Data'!$J:$J)</f>
        <v>0.76875000000000004</v>
      </c>
      <c r="K112" s="215">
        <f>IFERROR((Plant_BD[[#This Row],[Sunset Time (POA&lt;20 W/m2)]]-Plant_BD[[#This Row],[Sunrise Time (POA&gt;20 W/m2)]])*24,"")</f>
        <v>12.250000000000002</v>
      </c>
      <c r="L112" s="215"/>
      <c r="M112" s="215"/>
      <c r="N112" s="215"/>
      <c r="O112" s="215"/>
      <c r="P112" s="215"/>
      <c r="Q112" s="215"/>
      <c r="R112" s="215"/>
      <c r="S112" s="215"/>
      <c r="T112" s="216" t="s">
        <v>219</v>
      </c>
      <c r="U112" s="16">
        <f>IFERROR(_xlfn.XLOOKUP(Plant_BD[[#This Row],[Affected Equipment]],'Basic Data'!$A:$A,'Basic Data'!$B:$B),"")</f>
        <v>669.6</v>
      </c>
      <c r="V112" s="217">
        <f>IFERROR(_xlfn.XLOOKUP(Plant_BD[[#This Row],[Affected Equipment]],'Basic Data'!$A:$A,'Basic Data'!$C:$C),"")</f>
        <v>8.348190352703562E-2</v>
      </c>
      <c r="W112" s="218" t="s">
        <v>311</v>
      </c>
      <c r="X112" s="218" t="s">
        <v>1076</v>
      </c>
      <c r="Y112" s="218"/>
      <c r="Z112" s="219" t="s">
        <v>1076</v>
      </c>
      <c r="AA112" s="220">
        <v>0.52430555555555558</v>
      </c>
      <c r="AB112" s="220"/>
      <c r="AC112" s="220"/>
      <c r="AD112" s="220">
        <v>0.52916666666666667</v>
      </c>
      <c r="AE112" s="221">
        <f>IF(Plant_BD[[#This Row],[Acknowledgement Time ]]="NA","",(Plant_BD[[#This Row],[Acknowledgement Time ]]-Plant_BD[[#This Row],[Fault Time]])*24)</f>
        <v>-12.583333333333334</v>
      </c>
      <c r="AF112" s="221">
        <f>IF(Plant_BD[[#This Row],[Work Start time on Fault]]="NA","",(Plant_BD[[#This Row],[Work Start time on Fault]]-Plant_BD[[#This Row],[Fault Time]])*24)</f>
        <v>-12.583333333333334</v>
      </c>
      <c r="AG112" s="17">
        <f>(Plant_BD[[#This Row],[Work Completion time on fault]]-Plant_BD[[#This Row],[Fault Time]])*24</f>
        <v>0.11666666666666625</v>
      </c>
      <c r="AH112" s="17">
        <f>IFERROR((Plant_BD[[#This Row],[Work Completion time on fault]]-Plant_BD[[#This Row],[Fault Time]])*24,"")</f>
        <v>0.11666666666666625</v>
      </c>
      <c r="AI112" s="222" t="s">
        <v>1072</v>
      </c>
      <c r="AJ112" s="6" t="s">
        <v>1068</v>
      </c>
      <c r="AK112" s="223">
        <f>IFERROR(Plant_BD[[#This Row],[Breakdown Time]]*Plant_BD[[#This Row],[Plant Equivalent Weightage]],"")</f>
        <v>9.7395554114874539E-3</v>
      </c>
      <c r="AL112" s="6">
        <v>0.13</v>
      </c>
      <c r="AM112" s="221">
        <f>_xlfn.XLOOKUP($G112,'Modelling New'!$D:$D,'Modelling New'!$O:$O)*Plant_BD[[#This Row],[Lost PoA(kWh/m2)]]*Plant_BD[[#This Row],[DC Capacity Affected (kW)]]</f>
        <v>58.781315684584854</v>
      </c>
      <c r="AN112" s="6"/>
      <c r="AO112" s="6"/>
      <c r="AP112" s="224"/>
    </row>
    <row r="113" spans="1:42" x14ac:dyDescent="0.3">
      <c r="A113" s="171">
        <f t="shared" si="1"/>
        <v>112</v>
      </c>
      <c r="B113" s="200">
        <v>45752</v>
      </c>
      <c r="C113" s="212">
        <f>YEAR(Plant_BD[[#This Row],[Date]])+IF(MONTH(Plant_BD[[#This Row],[Date]])&gt;=4,1,0)</f>
        <v>2026</v>
      </c>
      <c r="D113" s="212">
        <f>YEAR(Plant_BD[[#This Row],[Date]])</f>
        <v>2025</v>
      </c>
      <c r="E113" s="77" t="s">
        <v>1070</v>
      </c>
      <c r="F113" s="77" t="s">
        <v>1070</v>
      </c>
      <c r="G113" s="213">
        <f>Plant_BD[[#This Row],[Date]]-DAY(Plant_BD[[#This Row],[Date]])+1</f>
        <v>45748</v>
      </c>
      <c r="H113" s="3">
        <f>DAY(EOMONTH(Plant_BD[[#This Row],[Month Year]],0))</f>
        <v>30</v>
      </c>
      <c r="I113" s="214">
        <f>_xlfn.XLOOKUP(Plant_BD[[#This Row],[Date]],'Raw Data'!$G:$G,'Raw Data'!$I:$I)</f>
        <v>0.25833333333333336</v>
      </c>
      <c r="J113" s="214">
        <f>_xlfn.XLOOKUP(Plant_BD[[#This Row],[Date]],'Raw Data'!$G:$G,'Raw Data'!$J:$J)</f>
        <v>0.76875000000000004</v>
      </c>
      <c r="K113" s="215">
        <f>IFERROR((Plant_BD[[#This Row],[Sunset Time (POA&lt;20 W/m2)]]-Plant_BD[[#This Row],[Sunrise Time (POA&gt;20 W/m2)]])*24,"")</f>
        <v>12.250000000000002</v>
      </c>
      <c r="L113" s="215"/>
      <c r="M113" s="215"/>
      <c r="N113" s="215"/>
      <c r="O113" s="215"/>
      <c r="P113" s="215"/>
      <c r="Q113" s="215"/>
      <c r="R113" s="215"/>
      <c r="S113" s="215"/>
      <c r="T113" s="216" t="s">
        <v>220</v>
      </c>
      <c r="U113" s="16">
        <f>IFERROR(_xlfn.XLOOKUP(Plant_BD[[#This Row],[Affected Equipment]],'Basic Data'!$A:$A,'Basic Data'!$B:$B),"")</f>
        <v>669.6</v>
      </c>
      <c r="V113" s="217">
        <f>IFERROR(_xlfn.XLOOKUP(Plant_BD[[#This Row],[Affected Equipment]],'Basic Data'!$A:$A,'Basic Data'!$C:$C),"")</f>
        <v>8.348190352703562E-2</v>
      </c>
      <c r="W113" s="218" t="s">
        <v>311</v>
      </c>
      <c r="X113" s="218" t="s">
        <v>1078</v>
      </c>
      <c r="Y113" s="218"/>
      <c r="Z113" s="219" t="s">
        <v>1078</v>
      </c>
      <c r="AA113" s="220">
        <v>0.52430555555555558</v>
      </c>
      <c r="AB113" s="220"/>
      <c r="AC113" s="220"/>
      <c r="AD113" s="220">
        <v>0.52916666666666667</v>
      </c>
      <c r="AE113" s="221">
        <f>IF(Plant_BD[[#This Row],[Acknowledgement Time ]]="NA","",(Plant_BD[[#This Row],[Acknowledgement Time ]]-Plant_BD[[#This Row],[Fault Time]])*24)</f>
        <v>-12.583333333333334</v>
      </c>
      <c r="AF113" s="221">
        <f>IF(Plant_BD[[#This Row],[Work Start time on Fault]]="NA","",(Plant_BD[[#This Row],[Work Start time on Fault]]-Plant_BD[[#This Row],[Fault Time]])*24)</f>
        <v>-12.583333333333334</v>
      </c>
      <c r="AG113" s="17">
        <f>(Plant_BD[[#This Row],[Work Completion time on fault]]-Plant_BD[[#This Row],[Fault Time]])*24</f>
        <v>0.11666666666666625</v>
      </c>
      <c r="AH113" s="17">
        <f>IFERROR((Plant_BD[[#This Row],[Work Completion time on fault]]-Plant_BD[[#This Row],[Fault Time]])*24,"")</f>
        <v>0.11666666666666625</v>
      </c>
      <c r="AI113" s="222" t="s">
        <v>1072</v>
      </c>
      <c r="AJ113" s="6" t="s">
        <v>1068</v>
      </c>
      <c r="AK113" s="223">
        <f>IFERROR(Plant_BD[[#This Row],[Breakdown Time]]*Plant_BD[[#This Row],[Plant Equivalent Weightage]],"")</f>
        <v>9.7395554114874539E-3</v>
      </c>
      <c r="AL113" s="6">
        <v>0.13</v>
      </c>
      <c r="AM113" s="221">
        <f>_xlfn.XLOOKUP($G113,'Modelling New'!$D:$D,'Modelling New'!$O:$O)*Plant_BD[[#This Row],[Lost PoA(kWh/m2)]]*Plant_BD[[#This Row],[DC Capacity Affected (kW)]]</f>
        <v>58.781315684584854</v>
      </c>
      <c r="AN113" s="6"/>
      <c r="AO113" s="6"/>
      <c r="AP113" s="224"/>
    </row>
    <row r="114" spans="1:42" x14ac:dyDescent="0.3">
      <c r="A114" s="171">
        <f t="shared" si="1"/>
        <v>113</v>
      </c>
      <c r="B114" s="200">
        <v>45752</v>
      </c>
      <c r="C114" s="212">
        <f>YEAR(Plant_BD[[#This Row],[Date]])+IF(MONTH(Plant_BD[[#This Row],[Date]])&gt;=4,1,0)</f>
        <v>2026</v>
      </c>
      <c r="D114" s="212">
        <f>YEAR(Plant_BD[[#This Row],[Date]])</f>
        <v>2025</v>
      </c>
      <c r="E114" s="77" t="s">
        <v>1070</v>
      </c>
      <c r="F114" s="77" t="s">
        <v>1070</v>
      </c>
      <c r="G114" s="213">
        <f>Plant_BD[[#This Row],[Date]]-DAY(Plant_BD[[#This Row],[Date]])+1</f>
        <v>45748</v>
      </c>
      <c r="H114" s="3">
        <f>DAY(EOMONTH(Plant_BD[[#This Row],[Month Year]],0))</f>
        <v>30</v>
      </c>
      <c r="I114" s="214">
        <f>_xlfn.XLOOKUP(Plant_BD[[#This Row],[Date]],'Raw Data'!$G:$G,'Raw Data'!$I:$I)</f>
        <v>0.25833333333333336</v>
      </c>
      <c r="J114" s="214">
        <f>_xlfn.XLOOKUP(Plant_BD[[#This Row],[Date]],'Raw Data'!$G:$G,'Raw Data'!$J:$J)</f>
        <v>0.76875000000000004</v>
      </c>
      <c r="K114" s="215">
        <f>IFERROR((Plant_BD[[#This Row],[Sunset Time (POA&lt;20 W/m2)]]-Plant_BD[[#This Row],[Sunrise Time (POA&gt;20 W/m2)]])*24,"")</f>
        <v>12.250000000000002</v>
      </c>
      <c r="L114" s="215"/>
      <c r="M114" s="215"/>
      <c r="N114" s="215"/>
      <c r="O114" s="215"/>
      <c r="P114" s="215"/>
      <c r="Q114" s="215"/>
      <c r="R114" s="215"/>
      <c r="S114" s="215"/>
      <c r="T114" s="216" t="s">
        <v>168</v>
      </c>
      <c r="U114" s="16">
        <f>IFERROR(_xlfn.XLOOKUP(Plant_BD[[#This Row],[Affected Equipment]],'Basic Data'!$A:$A,'Basic Data'!$B:$B),"")</f>
        <v>2694.6</v>
      </c>
      <c r="V114" s="217">
        <f>IFERROR(_xlfn.XLOOKUP(Plant_BD[[#This Row],[Affected Equipment]],'Basic Data'!$A:$A,'Basic Data'!$C:$C),"")</f>
        <v>0.33594733758057077</v>
      </c>
      <c r="W114" s="218" t="s">
        <v>311</v>
      </c>
      <c r="X114" s="218" t="s">
        <v>1077</v>
      </c>
      <c r="Y114" s="218"/>
      <c r="Z114" s="219" t="s">
        <v>1077</v>
      </c>
      <c r="AA114" s="220">
        <v>0.52916666666666667</v>
      </c>
      <c r="AB114" s="220"/>
      <c r="AC114" s="220"/>
      <c r="AD114" s="220">
        <v>0.53472222222222221</v>
      </c>
      <c r="AE114" s="221">
        <f>IF(Plant_BD[[#This Row],[Acknowledgement Time ]]="NA","",(Plant_BD[[#This Row],[Acknowledgement Time ]]-Plant_BD[[#This Row],[Fault Time]])*24)</f>
        <v>-12.7</v>
      </c>
      <c r="AF114" s="221">
        <f>IF(Plant_BD[[#This Row],[Work Start time on Fault]]="NA","",(Plant_BD[[#This Row],[Work Start time on Fault]]-Plant_BD[[#This Row],[Fault Time]])*24)</f>
        <v>-12.7</v>
      </c>
      <c r="AG114" s="17">
        <f>(Plant_BD[[#This Row],[Work Completion time on fault]]-Plant_BD[[#This Row],[Fault Time]])*24</f>
        <v>0.13333333333333286</v>
      </c>
      <c r="AH114" s="17">
        <f>IFERROR((Plant_BD[[#This Row],[Work Completion time on fault]]-Plant_BD[[#This Row],[Fault Time]])*24,"")</f>
        <v>0.13333333333333286</v>
      </c>
      <c r="AI114" s="222" t="s">
        <v>1074</v>
      </c>
      <c r="AJ114" s="6" t="s">
        <v>1069</v>
      </c>
      <c r="AK114" s="223">
        <f>IFERROR(Plant_BD[[#This Row],[Breakdown Time]]*Plant_BD[[#This Row],[Plant Equivalent Weightage]],"")</f>
        <v>4.4792978344075945E-2</v>
      </c>
      <c r="AL114" s="6">
        <v>0.14000000000000001</v>
      </c>
      <c r="AM114" s="221">
        <f>_xlfn.XLOOKUP($G114,'Modelling New'!$D:$D,'Modelling New'!$O:$O)*Plant_BD[[#This Row],[Lost PoA(kWh/m2)]]*Plant_BD[[#This Row],[DC Capacity Affected (kW)]]</f>
        <v>254.74334452388945</v>
      </c>
      <c r="AN114" s="6"/>
      <c r="AO114" s="6"/>
      <c r="AP114" s="224"/>
    </row>
    <row r="115" spans="1:42" x14ac:dyDescent="0.3">
      <c r="A115" s="171">
        <f t="shared" si="1"/>
        <v>114</v>
      </c>
      <c r="B115" s="200">
        <v>45752</v>
      </c>
      <c r="C115" s="212">
        <f>YEAR(Plant_BD[[#This Row],[Date]])+IF(MONTH(Plant_BD[[#This Row],[Date]])&gt;=4,1,0)</f>
        <v>2026</v>
      </c>
      <c r="D115" s="212">
        <f>YEAR(Plant_BD[[#This Row],[Date]])</f>
        <v>2025</v>
      </c>
      <c r="E115" s="77" t="s">
        <v>1070</v>
      </c>
      <c r="F115" s="77" t="s">
        <v>1070</v>
      </c>
      <c r="G115" s="213">
        <f>Plant_BD[[#This Row],[Date]]-DAY(Plant_BD[[#This Row],[Date]])+1</f>
        <v>45748</v>
      </c>
      <c r="H115" s="3">
        <f>DAY(EOMONTH(Plant_BD[[#This Row],[Month Year]],0))</f>
        <v>30</v>
      </c>
      <c r="I115" s="214">
        <f>_xlfn.XLOOKUP(Plant_BD[[#This Row],[Date]],'Raw Data'!$G:$G,'Raw Data'!$I:$I)</f>
        <v>0.25833333333333336</v>
      </c>
      <c r="J115" s="214">
        <f>_xlfn.XLOOKUP(Plant_BD[[#This Row],[Date]],'Raw Data'!$G:$G,'Raw Data'!$J:$J)</f>
        <v>0.76875000000000004</v>
      </c>
      <c r="K115" s="215">
        <f>IFERROR((Plant_BD[[#This Row],[Sunset Time (POA&lt;20 W/m2)]]-Plant_BD[[#This Row],[Sunrise Time (POA&gt;20 W/m2)]])*24,"")</f>
        <v>12.250000000000002</v>
      </c>
      <c r="L115" s="215"/>
      <c r="M115" s="215"/>
      <c r="N115" s="215"/>
      <c r="O115" s="215"/>
      <c r="P115" s="215"/>
      <c r="Q115" s="215"/>
      <c r="R115" s="215"/>
      <c r="S115" s="215"/>
      <c r="T115" s="216" t="s">
        <v>219</v>
      </c>
      <c r="U115" s="16">
        <f>IFERROR(_xlfn.XLOOKUP(Plant_BD[[#This Row],[Affected Equipment]],'Basic Data'!$A:$A,'Basic Data'!$B:$B),"")</f>
        <v>669.6</v>
      </c>
      <c r="V115" s="217">
        <f>IFERROR(_xlfn.XLOOKUP(Plant_BD[[#This Row],[Affected Equipment]],'Basic Data'!$A:$A,'Basic Data'!$C:$C),"")</f>
        <v>8.348190352703562E-2</v>
      </c>
      <c r="W115" s="218" t="s">
        <v>311</v>
      </c>
      <c r="X115" s="218" t="s">
        <v>1076</v>
      </c>
      <c r="Y115" s="218"/>
      <c r="Z115" s="219" t="s">
        <v>1076</v>
      </c>
      <c r="AA115" s="220">
        <v>0.53472222222222221</v>
      </c>
      <c r="AB115" s="220"/>
      <c r="AC115" s="220"/>
      <c r="AD115" s="220">
        <v>0.53819444444444442</v>
      </c>
      <c r="AE115" s="221">
        <f>IF(Plant_BD[[#This Row],[Acknowledgement Time ]]="NA","",(Plant_BD[[#This Row],[Acknowledgement Time ]]-Plant_BD[[#This Row],[Fault Time]])*24)</f>
        <v>-12.833333333333332</v>
      </c>
      <c r="AF115" s="221">
        <f>IF(Plant_BD[[#This Row],[Work Start time on Fault]]="NA","",(Plant_BD[[#This Row],[Work Start time on Fault]]-Plant_BD[[#This Row],[Fault Time]])*24)</f>
        <v>-12.833333333333332</v>
      </c>
      <c r="AG115" s="17">
        <f>(Plant_BD[[#This Row],[Work Completion time on fault]]-Plant_BD[[#This Row],[Fault Time]])*24</f>
        <v>8.3333333333333037E-2</v>
      </c>
      <c r="AH115" s="17">
        <f>IFERROR((Plant_BD[[#This Row],[Work Completion time on fault]]-Plant_BD[[#This Row],[Fault Time]])*24,"")</f>
        <v>8.3333333333333037E-2</v>
      </c>
      <c r="AI115" s="222" t="s">
        <v>1072</v>
      </c>
      <c r="AJ115" s="6" t="s">
        <v>1068</v>
      </c>
      <c r="AK115" s="223">
        <f>IFERROR(Plant_BD[[#This Row],[Breakdown Time]]*Plant_BD[[#This Row],[Plant Equivalent Weightage]],"")</f>
        <v>6.9568252939196107E-3</v>
      </c>
      <c r="AL115" s="6">
        <v>0.09</v>
      </c>
      <c r="AM115" s="221">
        <f>_xlfn.XLOOKUP($G115,'Modelling New'!$D:$D,'Modelling New'!$O:$O)*Plant_BD[[#This Row],[Lost PoA(kWh/m2)]]*Plant_BD[[#This Row],[DC Capacity Affected (kW)]]</f>
        <v>40.694757012404892</v>
      </c>
      <c r="AN115" s="6"/>
      <c r="AO115" s="6"/>
      <c r="AP115" s="224"/>
    </row>
    <row r="116" spans="1:42" x14ac:dyDescent="0.3">
      <c r="A116" s="171">
        <f t="shared" si="1"/>
        <v>115</v>
      </c>
      <c r="B116" s="200">
        <v>45752</v>
      </c>
      <c r="C116" s="212">
        <f>YEAR(Plant_BD[[#This Row],[Date]])+IF(MONTH(Plant_BD[[#This Row],[Date]])&gt;=4,1,0)</f>
        <v>2026</v>
      </c>
      <c r="D116" s="212">
        <f>YEAR(Plant_BD[[#This Row],[Date]])</f>
        <v>2025</v>
      </c>
      <c r="E116" s="77" t="s">
        <v>1070</v>
      </c>
      <c r="F116" s="77" t="s">
        <v>1070</v>
      </c>
      <c r="G116" s="213">
        <f>Plant_BD[[#This Row],[Date]]-DAY(Plant_BD[[#This Row],[Date]])+1</f>
        <v>45748</v>
      </c>
      <c r="H116" s="3">
        <f>DAY(EOMONTH(Plant_BD[[#This Row],[Month Year]],0))</f>
        <v>30</v>
      </c>
      <c r="I116" s="214">
        <f>_xlfn.XLOOKUP(Plant_BD[[#This Row],[Date]],'Raw Data'!$G:$G,'Raw Data'!$I:$I)</f>
        <v>0.25833333333333336</v>
      </c>
      <c r="J116" s="214">
        <f>_xlfn.XLOOKUP(Plant_BD[[#This Row],[Date]],'Raw Data'!$G:$G,'Raw Data'!$J:$J)</f>
        <v>0.76875000000000004</v>
      </c>
      <c r="K116" s="215">
        <f>IFERROR((Plant_BD[[#This Row],[Sunset Time (POA&lt;20 W/m2)]]-Plant_BD[[#This Row],[Sunrise Time (POA&gt;20 W/m2)]])*24,"")</f>
        <v>12.250000000000002</v>
      </c>
      <c r="L116" s="215"/>
      <c r="M116" s="215"/>
      <c r="N116" s="215"/>
      <c r="O116" s="215"/>
      <c r="P116" s="215"/>
      <c r="Q116" s="215"/>
      <c r="R116" s="215"/>
      <c r="S116" s="215"/>
      <c r="T116" s="216" t="s">
        <v>220</v>
      </c>
      <c r="U116" s="16">
        <f>IFERROR(_xlfn.XLOOKUP(Plant_BD[[#This Row],[Affected Equipment]],'Basic Data'!$A:$A,'Basic Data'!$B:$B),"")</f>
        <v>669.6</v>
      </c>
      <c r="V116" s="217">
        <f>IFERROR(_xlfn.XLOOKUP(Plant_BD[[#This Row],[Affected Equipment]],'Basic Data'!$A:$A,'Basic Data'!$C:$C),"")</f>
        <v>8.348190352703562E-2</v>
      </c>
      <c r="W116" s="218" t="s">
        <v>311</v>
      </c>
      <c r="X116" s="218" t="s">
        <v>1078</v>
      </c>
      <c r="Y116" s="218"/>
      <c r="Z116" s="219" t="s">
        <v>1078</v>
      </c>
      <c r="AA116" s="220">
        <v>0.53472222222222221</v>
      </c>
      <c r="AB116" s="220"/>
      <c r="AC116" s="220"/>
      <c r="AD116" s="220">
        <v>0.53819444444444442</v>
      </c>
      <c r="AE116" s="221">
        <f>IF(Plant_BD[[#This Row],[Acknowledgement Time ]]="NA","",(Plant_BD[[#This Row],[Acknowledgement Time ]]-Plant_BD[[#This Row],[Fault Time]])*24)</f>
        <v>-12.833333333333332</v>
      </c>
      <c r="AF116" s="221">
        <f>IF(Plant_BD[[#This Row],[Work Start time on Fault]]="NA","",(Plant_BD[[#This Row],[Work Start time on Fault]]-Plant_BD[[#This Row],[Fault Time]])*24)</f>
        <v>-12.833333333333332</v>
      </c>
      <c r="AG116" s="17">
        <f>(Plant_BD[[#This Row],[Work Completion time on fault]]-Plant_BD[[#This Row],[Fault Time]])*24</f>
        <v>8.3333333333333037E-2</v>
      </c>
      <c r="AH116" s="17">
        <f>IFERROR((Plant_BD[[#This Row],[Work Completion time on fault]]-Plant_BD[[#This Row],[Fault Time]])*24,"")</f>
        <v>8.3333333333333037E-2</v>
      </c>
      <c r="AI116" s="222" t="s">
        <v>1072</v>
      </c>
      <c r="AJ116" s="6" t="s">
        <v>1068</v>
      </c>
      <c r="AK116" s="223">
        <f>IFERROR(Plant_BD[[#This Row],[Breakdown Time]]*Plant_BD[[#This Row],[Plant Equivalent Weightage]],"")</f>
        <v>6.9568252939196107E-3</v>
      </c>
      <c r="AL116" s="6">
        <v>0.09</v>
      </c>
      <c r="AM116" s="221">
        <f>_xlfn.XLOOKUP($G116,'Modelling New'!$D:$D,'Modelling New'!$O:$O)*Plant_BD[[#This Row],[Lost PoA(kWh/m2)]]*Plant_BD[[#This Row],[DC Capacity Affected (kW)]]</f>
        <v>40.694757012404892</v>
      </c>
      <c r="AN116" s="6"/>
      <c r="AO116" s="6"/>
      <c r="AP116" s="224"/>
    </row>
    <row r="117" spans="1:42" x14ac:dyDescent="0.3">
      <c r="A117" s="171">
        <f t="shared" si="1"/>
        <v>116</v>
      </c>
      <c r="B117" s="200">
        <v>45752</v>
      </c>
      <c r="C117" s="212">
        <f>YEAR(Plant_BD[[#This Row],[Date]])+IF(MONTH(Plant_BD[[#This Row],[Date]])&gt;=4,1,0)</f>
        <v>2026</v>
      </c>
      <c r="D117" s="212">
        <f>YEAR(Plant_BD[[#This Row],[Date]])</f>
        <v>2025</v>
      </c>
      <c r="E117" s="77" t="s">
        <v>1070</v>
      </c>
      <c r="F117" s="77" t="s">
        <v>1070</v>
      </c>
      <c r="G117" s="213">
        <f>Plant_BD[[#This Row],[Date]]-DAY(Plant_BD[[#This Row],[Date]])+1</f>
        <v>45748</v>
      </c>
      <c r="H117" s="3">
        <f>DAY(EOMONTH(Plant_BD[[#This Row],[Month Year]],0))</f>
        <v>30</v>
      </c>
      <c r="I117" s="214">
        <f>_xlfn.XLOOKUP(Plant_BD[[#This Row],[Date]],'Raw Data'!$G:$G,'Raw Data'!$I:$I)</f>
        <v>0.25833333333333336</v>
      </c>
      <c r="J117" s="214">
        <f>_xlfn.XLOOKUP(Plant_BD[[#This Row],[Date]],'Raw Data'!$G:$G,'Raw Data'!$J:$J)</f>
        <v>0.76875000000000004</v>
      </c>
      <c r="K117" s="215">
        <f>IFERROR((Plant_BD[[#This Row],[Sunset Time (POA&lt;20 W/m2)]]-Plant_BD[[#This Row],[Sunrise Time (POA&gt;20 W/m2)]])*24,"")</f>
        <v>12.250000000000002</v>
      </c>
      <c r="L117" s="215"/>
      <c r="M117" s="215"/>
      <c r="N117" s="215"/>
      <c r="O117" s="215"/>
      <c r="P117" s="215"/>
      <c r="Q117" s="215"/>
      <c r="R117" s="215"/>
      <c r="S117" s="215"/>
      <c r="T117" s="216" t="s">
        <v>168</v>
      </c>
      <c r="U117" s="16">
        <f>IFERROR(_xlfn.XLOOKUP(Plant_BD[[#This Row],[Affected Equipment]],'Basic Data'!$A:$A,'Basic Data'!$B:$B),"")</f>
        <v>2694.6</v>
      </c>
      <c r="V117" s="217">
        <f>IFERROR(_xlfn.XLOOKUP(Plant_BD[[#This Row],[Affected Equipment]],'Basic Data'!$A:$A,'Basic Data'!$C:$C),"")</f>
        <v>0.33594733758057077</v>
      </c>
      <c r="W117" s="218" t="s">
        <v>311</v>
      </c>
      <c r="X117" s="218" t="s">
        <v>1077</v>
      </c>
      <c r="Y117" s="218"/>
      <c r="Z117" s="219" t="s">
        <v>1077</v>
      </c>
      <c r="AA117" s="220">
        <v>0.53819444444444442</v>
      </c>
      <c r="AB117" s="220"/>
      <c r="AC117" s="220"/>
      <c r="AD117" s="220">
        <v>0.54583333333333328</v>
      </c>
      <c r="AE117" s="221">
        <f>IF(Plant_BD[[#This Row],[Acknowledgement Time ]]="NA","",(Plant_BD[[#This Row],[Acknowledgement Time ]]-Plant_BD[[#This Row],[Fault Time]])*24)</f>
        <v>-12.916666666666666</v>
      </c>
      <c r="AF117" s="221">
        <f>IF(Plant_BD[[#This Row],[Work Start time on Fault]]="NA","",(Plant_BD[[#This Row],[Work Start time on Fault]]-Plant_BD[[#This Row],[Fault Time]])*24)</f>
        <v>-12.916666666666666</v>
      </c>
      <c r="AG117" s="17">
        <f>(Plant_BD[[#This Row],[Work Completion time on fault]]-Plant_BD[[#This Row],[Fault Time]])*24</f>
        <v>0.18333333333333268</v>
      </c>
      <c r="AH117" s="17">
        <f>IFERROR((Plant_BD[[#This Row],[Work Completion time on fault]]-Plant_BD[[#This Row],[Fault Time]])*24,"")</f>
        <v>0.18333333333333268</v>
      </c>
      <c r="AI117" s="222" t="s">
        <v>1074</v>
      </c>
      <c r="AJ117" s="6" t="s">
        <v>1069</v>
      </c>
      <c r="AK117" s="223">
        <f>IFERROR(Plant_BD[[#This Row],[Breakdown Time]]*Plant_BD[[#This Row],[Plant Equivalent Weightage]],"")</f>
        <v>6.1590345223104422E-2</v>
      </c>
      <c r="AL117" s="6">
        <v>0.19</v>
      </c>
      <c r="AM117" s="221">
        <f>_xlfn.XLOOKUP($G117,'Modelling New'!$D:$D,'Modelling New'!$O:$O)*Plant_BD[[#This Row],[Lost PoA(kWh/m2)]]*Plant_BD[[#This Row],[DC Capacity Affected (kW)]]</f>
        <v>345.72311042527849</v>
      </c>
      <c r="AN117" s="6"/>
      <c r="AO117" s="6"/>
      <c r="AP117" s="224"/>
    </row>
    <row r="118" spans="1:42" x14ac:dyDescent="0.3">
      <c r="A118" s="171">
        <f t="shared" si="1"/>
        <v>117</v>
      </c>
      <c r="B118" s="200">
        <v>45752</v>
      </c>
      <c r="C118" s="212">
        <f>YEAR(Plant_BD[[#This Row],[Date]])+IF(MONTH(Plant_BD[[#This Row],[Date]])&gt;=4,1,0)</f>
        <v>2026</v>
      </c>
      <c r="D118" s="212">
        <f>YEAR(Plant_BD[[#This Row],[Date]])</f>
        <v>2025</v>
      </c>
      <c r="E118" s="77" t="s">
        <v>1070</v>
      </c>
      <c r="F118" s="77" t="s">
        <v>1070</v>
      </c>
      <c r="G118" s="213">
        <f>Plant_BD[[#This Row],[Date]]-DAY(Plant_BD[[#This Row],[Date]])+1</f>
        <v>45748</v>
      </c>
      <c r="H118" s="3">
        <f>DAY(EOMONTH(Plant_BD[[#This Row],[Month Year]],0))</f>
        <v>30</v>
      </c>
      <c r="I118" s="214">
        <f>_xlfn.XLOOKUP(Plant_BD[[#This Row],[Date]],'Raw Data'!$G:$G,'Raw Data'!$I:$I)</f>
        <v>0.25833333333333336</v>
      </c>
      <c r="J118" s="214">
        <f>_xlfn.XLOOKUP(Plant_BD[[#This Row],[Date]],'Raw Data'!$G:$G,'Raw Data'!$J:$J)</f>
        <v>0.76875000000000004</v>
      </c>
      <c r="K118" s="215">
        <f>IFERROR((Plant_BD[[#This Row],[Sunset Time (POA&lt;20 W/m2)]]-Plant_BD[[#This Row],[Sunrise Time (POA&gt;20 W/m2)]])*24,"")</f>
        <v>12.250000000000002</v>
      </c>
      <c r="L118" s="215"/>
      <c r="M118" s="215"/>
      <c r="N118" s="215"/>
      <c r="O118" s="215"/>
      <c r="P118" s="215"/>
      <c r="Q118" s="215"/>
      <c r="R118" s="215"/>
      <c r="S118" s="215"/>
      <c r="T118" s="216" t="s">
        <v>219</v>
      </c>
      <c r="U118" s="16">
        <f>IFERROR(_xlfn.XLOOKUP(Plant_BD[[#This Row],[Affected Equipment]],'Basic Data'!$A:$A,'Basic Data'!$B:$B),"")</f>
        <v>669.6</v>
      </c>
      <c r="V118" s="217">
        <f>IFERROR(_xlfn.XLOOKUP(Plant_BD[[#This Row],[Affected Equipment]],'Basic Data'!$A:$A,'Basic Data'!$C:$C),"")</f>
        <v>8.348190352703562E-2</v>
      </c>
      <c r="W118" s="218" t="s">
        <v>311</v>
      </c>
      <c r="X118" s="218" t="s">
        <v>1076</v>
      </c>
      <c r="Y118" s="218"/>
      <c r="Z118" s="219" t="s">
        <v>1076</v>
      </c>
      <c r="AA118" s="220">
        <v>0.54583333333333328</v>
      </c>
      <c r="AB118" s="220"/>
      <c r="AC118" s="220"/>
      <c r="AD118" s="220">
        <v>0.55138888888888893</v>
      </c>
      <c r="AE118" s="221">
        <f>IF(Plant_BD[[#This Row],[Acknowledgement Time ]]="NA","",(Plant_BD[[#This Row],[Acknowledgement Time ]]-Plant_BD[[#This Row],[Fault Time]])*24)</f>
        <v>-13.099999999999998</v>
      </c>
      <c r="AF118" s="221">
        <f>IF(Plant_BD[[#This Row],[Work Start time on Fault]]="NA","",(Plant_BD[[#This Row],[Work Start time on Fault]]-Plant_BD[[#This Row],[Fault Time]])*24)</f>
        <v>-13.099999999999998</v>
      </c>
      <c r="AG118" s="17">
        <f>(Plant_BD[[#This Row],[Work Completion time on fault]]-Plant_BD[[#This Row],[Fault Time]])*24</f>
        <v>0.13333333333333552</v>
      </c>
      <c r="AH118" s="17">
        <f>IFERROR((Plant_BD[[#This Row],[Work Completion time on fault]]-Plant_BD[[#This Row],[Fault Time]])*24,"")</f>
        <v>0.13333333333333552</v>
      </c>
      <c r="AI118" s="222" t="s">
        <v>1072</v>
      </c>
      <c r="AJ118" s="6" t="s">
        <v>1068</v>
      </c>
      <c r="AK118" s="223">
        <f>IFERROR(Plant_BD[[#This Row],[Breakdown Time]]*Plant_BD[[#This Row],[Plant Equivalent Weightage]],"")</f>
        <v>1.1130920470271598E-2</v>
      </c>
      <c r="AL118" s="6">
        <v>0.14000000000000001</v>
      </c>
      <c r="AM118" s="221">
        <f>_xlfn.XLOOKUP($G118,'Modelling New'!$D:$D,'Modelling New'!$O:$O)*Plant_BD[[#This Row],[Lost PoA(kWh/m2)]]*Plant_BD[[#This Row],[DC Capacity Affected (kW)]]</f>
        <v>63.302955352629844</v>
      </c>
      <c r="AN118" s="6"/>
      <c r="AO118" s="6"/>
      <c r="AP118" s="224"/>
    </row>
    <row r="119" spans="1:42" x14ac:dyDescent="0.3">
      <c r="A119" s="171">
        <f t="shared" si="1"/>
        <v>118</v>
      </c>
      <c r="B119" s="200">
        <v>45752</v>
      </c>
      <c r="C119" s="212">
        <f>YEAR(Plant_BD[[#This Row],[Date]])+IF(MONTH(Plant_BD[[#This Row],[Date]])&gt;=4,1,0)</f>
        <v>2026</v>
      </c>
      <c r="D119" s="212">
        <f>YEAR(Plant_BD[[#This Row],[Date]])</f>
        <v>2025</v>
      </c>
      <c r="E119" s="77" t="s">
        <v>1070</v>
      </c>
      <c r="F119" s="77" t="s">
        <v>1070</v>
      </c>
      <c r="G119" s="213">
        <f>Plant_BD[[#This Row],[Date]]-DAY(Plant_BD[[#This Row],[Date]])+1</f>
        <v>45748</v>
      </c>
      <c r="H119" s="3">
        <f>DAY(EOMONTH(Plant_BD[[#This Row],[Month Year]],0))</f>
        <v>30</v>
      </c>
      <c r="I119" s="214">
        <f>_xlfn.XLOOKUP(Plant_BD[[#This Row],[Date]],'Raw Data'!$G:$G,'Raw Data'!$I:$I)</f>
        <v>0.25833333333333336</v>
      </c>
      <c r="J119" s="214">
        <f>_xlfn.XLOOKUP(Plant_BD[[#This Row],[Date]],'Raw Data'!$G:$G,'Raw Data'!$J:$J)</f>
        <v>0.76875000000000004</v>
      </c>
      <c r="K119" s="215">
        <f>IFERROR((Plant_BD[[#This Row],[Sunset Time (POA&lt;20 W/m2)]]-Plant_BD[[#This Row],[Sunrise Time (POA&gt;20 W/m2)]])*24,"")</f>
        <v>12.250000000000002</v>
      </c>
      <c r="L119" s="215"/>
      <c r="M119" s="215"/>
      <c r="N119" s="215"/>
      <c r="O119" s="215"/>
      <c r="P119" s="215"/>
      <c r="Q119" s="215"/>
      <c r="R119" s="215"/>
      <c r="S119" s="215"/>
      <c r="T119" s="216" t="s">
        <v>220</v>
      </c>
      <c r="U119" s="16">
        <f>IFERROR(_xlfn.XLOOKUP(Plant_BD[[#This Row],[Affected Equipment]],'Basic Data'!$A:$A,'Basic Data'!$B:$B),"")</f>
        <v>669.6</v>
      </c>
      <c r="V119" s="217">
        <f>IFERROR(_xlfn.XLOOKUP(Plant_BD[[#This Row],[Affected Equipment]],'Basic Data'!$A:$A,'Basic Data'!$C:$C),"")</f>
        <v>8.348190352703562E-2</v>
      </c>
      <c r="W119" s="218" t="s">
        <v>311</v>
      </c>
      <c r="X119" s="218" t="s">
        <v>1078</v>
      </c>
      <c r="Y119" s="218"/>
      <c r="Z119" s="219" t="s">
        <v>1078</v>
      </c>
      <c r="AA119" s="220">
        <v>0.54583333333333328</v>
      </c>
      <c r="AB119" s="220"/>
      <c r="AC119" s="220"/>
      <c r="AD119" s="220">
        <v>0.55138888888888893</v>
      </c>
      <c r="AE119" s="221">
        <f>IF(Plant_BD[[#This Row],[Acknowledgement Time ]]="NA","",(Plant_BD[[#This Row],[Acknowledgement Time ]]-Plant_BD[[#This Row],[Fault Time]])*24)</f>
        <v>-13.099999999999998</v>
      </c>
      <c r="AF119" s="221">
        <f>IF(Plant_BD[[#This Row],[Work Start time on Fault]]="NA","",(Plant_BD[[#This Row],[Work Start time on Fault]]-Plant_BD[[#This Row],[Fault Time]])*24)</f>
        <v>-13.099999999999998</v>
      </c>
      <c r="AG119" s="17">
        <f>(Plant_BD[[#This Row],[Work Completion time on fault]]-Plant_BD[[#This Row],[Fault Time]])*24</f>
        <v>0.13333333333333552</v>
      </c>
      <c r="AH119" s="17">
        <f>IFERROR((Plant_BD[[#This Row],[Work Completion time on fault]]-Plant_BD[[#This Row],[Fault Time]])*24,"")</f>
        <v>0.13333333333333552</v>
      </c>
      <c r="AI119" s="222" t="s">
        <v>1072</v>
      </c>
      <c r="AJ119" s="6" t="s">
        <v>1068</v>
      </c>
      <c r="AK119" s="223">
        <f>IFERROR(Plant_BD[[#This Row],[Breakdown Time]]*Plant_BD[[#This Row],[Plant Equivalent Weightage]],"")</f>
        <v>1.1130920470271598E-2</v>
      </c>
      <c r="AL119" s="6">
        <v>0.14000000000000001</v>
      </c>
      <c r="AM119" s="221">
        <f>_xlfn.XLOOKUP($G119,'Modelling New'!$D:$D,'Modelling New'!$O:$O)*Plant_BD[[#This Row],[Lost PoA(kWh/m2)]]*Plant_BD[[#This Row],[DC Capacity Affected (kW)]]</f>
        <v>63.302955352629844</v>
      </c>
      <c r="AN119" s="6"/>
      <c r="AO119" s="6"/>
      <c r="AP119" s="224"/>
    </row>
    <row r="120" spans="1:42" x14ac:dyDescent="0.3">
      <c r="A120" s="171">
        <f t="shared" si="1"/>
        <v>119</v>
      </c>
      <c r="B120" s="200">
        <v>45752</v>
      </c>
      <c r="C120" s="212">
        <f>YEAR(Plant_BD[[#This Row],[Date]])+IF(MONTH(Plant_BD[[#This Row],[Date]])&gt;=4,1,0)</f>
        <v>2026</v>
      </c>
      <c r="D120" s="212">
        <f>YEAR(Plant_BD[[#This Row],[Date]])</f>
        <v>2025</v>
      </c>
      <c r="E120" s="77" t="s">
        <v>1070</v>
      </c>
      <c r="F120" s="77" t="s">
        <v>1070</v>
      </c>
      <c r="G120" s="213">
        <f>Plant_BD[[#This Row],[Date]]-DAY(Plant_BD[[#This Row],[Date]])+1</f>
        <v>45748</v>
      </c>
      <c r="H120" s="3">
        <f>DAY(EOMONTH(Plant_BD[[#This Row],[Month Year]],0))</f>
        <v>30</v>
      </c>
      <c r="I120" s="214">
        <f>_xlfn.XLOOKUP(Plant_BD[[#This Row],[Date]],'Raw Data'!$G:$G,'Raw Data'!$I:$I)</f>
        <v>0.25833333333333336</v>
      </c>
      <c r="J120" s="214">
        <f>_xlfn.XLOOKUP(Plant_BD[[#This Row],[Date]],'Raw Data'!$G:$G,'Raw Data'!$J:$J)</f>
        <v>0.76875000000000004</v>
      </c>
      <c r="K120" s="215">
        <f>IFERROR((Plant_BD[[#This Row],[Sunset Time (POA&lt;20 W/m2)]]-Plant_BD[[#This Row],[Sunrise Time (POA&gt;20 W/m2)]])*24,"")</f>
        <v>12.250000000000002</v>
      </c>
      <c r="L120" s="215"/>
      <c r="M120" s="215"/>
      <c r="N120" s="215"/>
      <c r="O120" s="215"/>
      <c r="P120" s="215"/>
      <c r="Q120" s="215"/>
      <c r="R120" s="215"/>
      <c r="S120" s="215"/>
      <c r="T120" s="216" t="s">
        <v>168</v>
      </c>
      <c r="U120" s="16">
        <f>IFERROR(_xlfn.XLOOKUP(Plant_BD[[#This Row],[Affected Equipment]],'Basic Data'!$A:$A,'Basic Data'!$B:$B),"")</f>
        <v>2694.6</v>
      </c>
      <c r="V120" s="217">
        <f>IFERROR(_xlfn.XLOOKUP(Plant_BD[[#This Row],[Affected Equipment]],'Basic Data'!$A:$A,'Basic Data'!$C:$C),"")</f>
        <v>0.33594733758057077</v>
      </c>
      <c r="W120" s="218" t="s">
        <v>311</v>
      </c>
      <c r="X120" s="218" t="s">
        <v>1077</v>
      </c>
      <c r="Y120" s="218"/>
      <c r="Z120" s="219" t="s">
        <v>1077</v>
      </c>
      <c r="AA120" s="220">
        <v>0.55138888888888893</v>
      </c>
      <c r="AB120" s="220"/>
      <c r="AC120" s="220"/>
      <c r="AD120" s="220">
        <v>0.55694444444444446</v>
      </c>
      <c r="AE120" s="221">
        <f>IF(Plant_BD[[#This Row],[Acknowledgement Time ]]="NA","",(Plant_BD[[#This Row],[Acknowledgement Time ]]-Plant_BD[[#This Row],[Fault Time]])*24)</f>
        <v>-13.233333333333334</v>
      </c>
      <c r="AF120" s="221">
        <f>IF(Plant_BD[[#This Row],[Work Start time on Fault]]="NA","",(Plant_BD[[#This Row],[Work Start time on Fault]]-Plant_BD[[#This Row],[Fault Time]])*24)</f>
        <v>-13.233333333333334</v>
      </c>
      <c r="AG120" s="17">
        <f>(Plant_BD[[#This Row],[Work Completion time on fault]]-Plant_BD[[#This Row],[Fault Time]])*24</f>
        <v>0.13333333333333286</v>
      </c>
      <c r="AH120" s="17">
        <f>IFERROR((Plant_BD[[#This Row],[Work Completion time on fault]]-Plant_BD[[#This Row],[Fault Time]])*24,"")</f>
        <v>0.13333333333333286</v>
      </c>
      <c r="AI120" s="222" t="s">
        <v>1074</v>
      </c>
      <c r="AJ120" s="6" t="s">
        <v>1069</v>
      </c>
      <c r="AK120" s="223">
        <f>IFERROR(Plant_BD[[#This Row],[Breakdown Time]]*Plant_BD[[#This Row],[Plant Equivalent Weightage]],"")</f>
        <v>4.4792978344075945E-2</v>
      </c>
      <c r="AL120" s="6">
        <v>0.14000000000000001</v>
      </c>
      <c r="AM120" s="221">
        <f>_xlfn.XLOOKUP($G120,'Modelling New'!$D:$D,'Modelling New'!$O:$O)*Plant_BD[[#This Row],[Lost PoA(kWh/m2)]]*Plant_BD[[#This Row],[DC Capacity Affected (kW)]]</f>
        <v>254.74334452388945</v>
      </c>
      <c r="AN120" s="6"/>
      <c r="AO120" s="6"/>
      <c r="AP120" s="224"/>
    </row>
    <row r="121" spans="1:42" x14ac:dyDescent="0.3">
      <c r="A121" s="171">
        <f t="shared" si="1"/>
        <v>120</v>
      </c>
      <c r="B121" s="200">
        <v>45752</v>
      </c>
      <c r="C121" s="212">
        <f>YEAR(Plant_BD[[#This Row],[Date]])+IF(MONTH(Plant_BD[[#This Row],[Date]])&gt;=4,1,0)</f>
        <v>2026</v>
      </c>
      <c r="D121" s="212">
        <f>YEAR(Plant_BD[[#This Row],[Date]])</f>
        <v>2025</v>
      </c>
      <c r="E121" s="77" t="s">
        <v>1070</v>
      </c>
      <c r="F121" s="77" t="s">
        <v>1070</v>
      </c>
      <c r="G121" s="213">
        <f>Plant_BD[[#This Row],[Date]]-DAY(Plant_BD[[#This Row],[Date]])+1</f>
        <v>45748</v>
      </c>
      <c r="H121" s="3">
        <f>DAY(EOMONTH(Plant_BD[[#This Row],[Month Year]],0))</f>
        <v>30</v>
      </c>
      <c r="I121" s="214">
        <f>_xlfn.XLOOKUP(Plant_BD[[#This Row],[Date]],'Raw Data'!$G:$G,'Raw Data'!$I:$I)</f>
        <v>0.25833333333333336</v>
      </c>
      <c r="J121" s="214">
        <f>_xlfn.XLOOKUP(Plant_BD[[#This Row],[Date]],'Raw Data'!$G:$G,'Raw Data'!$J:$J)</f>
        <v>0.76875000000000004</v>
      </c>
      <c r="K121" s="215">
        <f>IFERROR((Plant_BD[[#This Row],[Sunset Time (POA&lt;20 W/m2)]]-Plant_BD[[#This Row],[Sunrise Time (POA&gt;20 W/m2)]])*24,"")</f>
        <v>12.250000000000002</v>
      </c>
      <c r="L121" s="215"/>
      <c r="M121" s="215"/>
      <c r="N121" s="215"/>
      <c r="O121" s="215"/>
      <c r="P121" s="215"/>
      <c r="Q121" s="215"/>
      <c r="R121" s="215"/>
      <c r="S121" s="215"/>
      <c r="T121" s="216" t="s">
        <v>169</v>
      </c>
      <c r="U121" s="16">
        <f>IFERROR(_xlfn.XLOOKUP(Plant_BD[[#This Row],[Affected Equipment]],'Basic Data'!$A:$A,'Basic Data'!$B:$B),"")</f>
        <v>2630.8</v>
      </c>
      <c r="V121" s="217">
        <f>IFERROR(_xlfn.XLOOKUP(Plant_BD[[#This Row],[Affected Equipment]],'Basic Data'!$A:$A,'Basic Data'!$C:$C),"")</f>
        <v>0.32799311797927916</v>
      </c>
      <c r="W121" s="218" t="s">
        <v>291</v>
      </c>
      <c r="X121" s="218" t="s">
        <v>1173</v>
      </c>
      <c r="Y121" s="218"/>
      <c r="Z121" s="219" t="s">
        <v>1173</v>
      </c>
      <c r="AA121" s="220">
        <v>0.55208333333333337</v>
      </c>
      <c r="AB121" s="220"/>
      <c r="AC121" s="220"/>
      <c r="AD121" s="220">
        <v>0.57708333333333328</v>
      </c>
      <c r="AE121" s="221">
        <f>IF(Plant_BD[[#This Row],[Acknowledgement Time ]]="NA","",(Plant_BD[[#This Row],[Acknowledgement Time ]]-Plant_BD[[#This Row],[Fault Time]])*24)</f>
        <v>-13.25</v>
      </c>
      <c r="AF121" s="221">
        <f>IF(Plant_BD[[#This Row],[Work Start time on Fault]]="NA","",(Plant_BD[[#This Row],[Work Start time on Fault]]-Plant_BD[[#This Row],[Fault Time]])*24)</f>
        <v>-13.25</v>
      </c>
      <c r="AG121" s="17">
        <f>(Plant_BD[[#This Row],[Work Completion time on fault]]-Plant_BD[[#This Row],[Fault Time]])*24</f>
        <v>0.59999999999999787</v>
      </c>
      <c r="AH121" s="17">
        <f>IFERROR((Plant_BD[[#This Row],[Work Completion time on fault]]-Plant_BD[[#This Row],[Fault Time]])*24,"")</f>
        <v>0.59999999999999787</v>
      </c>
      <c r="AI121" s="222" t="s">
        <v>1074</v>
      </c>
      <c r="AJ121" s="6" t="s">
        <v>1069</v>
      </c>
      <c r="AK121" s="223">
        <f>IFERROR(Plant_BD[[#This Row],[Breakdown Time]]*Plant_BD[[#This Row],[Plant Equivalent Weightage]],"")</f>
        <v>0.1967958707875668</v>
      </c>
      <c r="AL121" s="6">
        <v>0.59</v>
      </c>
      <c r="AM121" s="221">
        <f>_xlfn.XLOOKUP($G121,'Modelling New'!$D:$D,'Modelling New'!$O:$O)*Plant_BD[[#This Row],[Lost PoA(kWh/m2)]]*Plant_BD[[#This Row],[DC Capacity Affected (kW)]]</f>
        <v>1048.142545822689</v>
      </c>
      <c r="AN121" s="6"/>
      <c r="AO121" s="6"/>
      <c r="AP121" s="224"/>
    </row>
    <row r="122" spans="1:42" x14ac:dyDescent="0.3">
      <c r="A122" s="171">
        <f t="shared" si="1"/>
        <v>121</v>
      </c>
      <c r="B122" s="200">
        <v>45752</v>
      </c>
      <c r="C122" s="212">
        <f>YEAR(Plant_BD[[#This Row],[Date]])+IF(MONTH(Plant_BD[[#This Row],[Date]])&gt;=4,1,0)</f>
        <v>2026</v>
      </c>
      <c r="D122" s="212">
        <f>YEAR(Plant_BD[[#This Row],[Date]])</f>
        <v>2025</v>
      </c>
      <c r="E122" s="77" t="s">
        <v>1070</v>
      </c>
      <c r="F122" s="77" t="s">
        <v>1070</v>
      </c>
      <c r="G122" s="213">
        <f>Plant_BD[[#This Row],[Date]]-DAY(Plant_BD[[#This Row],[Date]])+1</f>
        <v>45748</v>
      </c>
      <c r="H122" s="3">
        <f>DAY(EOMONTH(Plant_BD[[#This Row],[Month Year]],0))</f>
        <v>30</v>
      </c>
      <c r="I122" s="214">
        <f>_xlfn.XLOOKUP(Plant_BD[[#This Row],[Date]],'Raw Data'!$G:$G,'Raw Data'!$I:$I)</f>
        <v>0.25833333333333336</v>
      </c>
      <c r="J122" s="214">
        <f>_xlfn.XLOOKUP(Plant_BD[[#This Row],[Date]],'Raw Data'!$G:$G,'Raw Data'!$J:$J)</f>
        <v>0.76875000000000004</v>
      </c>
      <c r="K122" s="215">
        <f>IFERROR((Plant_BD[[#This Row],[Sunset Time (POA&lt;20 W/m2)]]-Plant_BD[[#This Row],[Sunrise Time (POA&gt;20 W/m2)]])*24,"")</f>
        <v>12.250000000000002</v>
      </c>
      <c r="L122" s="215"/>
      <c r="M122" s="215"/>
      <c r="N122" s="215"/>
      <c r="O122" s="215"/>
      <c r="P122" s="215"/>
      <c r="Q122" s="215"/>
      <c r="R122" s="215"/>
      <c r="S122" s="215"/>
      <c r="T122" s="216" t="s">
        <v>226</v>
      </c>
      <c r="U122" s="16">
        <f>IFERROR(_xlfn.XLOOKUP(Plant_BD[[#This Row],[Affected Equipment]],'Basic Data'!$A:$A,'Basic Data'!$B:$B),"")</f>
        <v>658.8</v>
      </c>
      <c r="V122" s="217">
        <f>IFERROR(_xlfn.XLOOKUP(Plant_BD[[#This Row],[Affected Equipment]],'Basic Data'!$A:$A,'Basic Data'!$C:$C),"")</f>
        <v>8.2135421212083434E-2</v>
      </c>
      <c r="W122" s="218" t="s">
        <v>291</v>
      </c>
      <c r="X122" s="218" t="s">
        <v>1075</v>
      </c>
      <c r="Y122" s="218"/>
      <c r="Z122" s="219" t="s">
        <v>1075</v>
      </c>
      <c r="AA122" s="225">
        <v>0.57708333333333328</v>
      </c>
      <c r="AB122" s="220"/>
      <c r="AC122" s="220"/>
      <c r="AD122" s="225">
        <v>0.76875000000000004</v>
      </c>
      <c r="AE122" s="221">
        <f>IF(Plant_BD[[#This Row],[Acknowledgement Time ]]="NA","",(Plant_BD[[#This Row],[Acknowledgement Time ]]-Plant_BD[[#This Row],[Fault Time]])*24)</f>
        <v>-13.849999999999998</v>
      </c>
      <c r="AF122" s="221">
        <f>IF(Plant_BD[[#This Row],[Work Start time on Fault]]="NA","",(Plant_BD[[#This Row],[Work Start time on Fault]]-Plant_BD[[#This Row],[Fault Time]])*24)</f>
        <v>-13.849999999999998</v>
      </c>
      <c r="AG122" s="17">
        <f>(Plant_BD[[#This Row],[Work Completion time on fault]]-Plant_BD[[#This Row],[Fault Time]])*24</f>
        <v>4.6000000000000023</v>
      </c>
      <c r="AH122" s="17">
        <f>IFERROR((Plant_BD[[#This Row],[Work Completion time on fault]]-Plant_BD[[#This Row],[Fault Time]])*24,"")</f>
        <v>4.6000000000000023</v>
      </c>
      <c r="AI122" s="222" t="s">
        <v>1072</v>
      </c>
      <c r="AJ122" s="6" t="s">
        <v>1068</v>
      </c>
      <c r="AK122" s="223">
        <f>IFERROR(Plant_BD[[#This Row],[Breakdown Time]]*Plant_BD[[#This Row],[Plant Equivalent Weightage]],"")</f>
        <v>0.37782293757558399</v>
      </c>
      <c r="AL122" s="6">
        <v>2.23</v>
      </c>
      <c r="AM122" s="221">
        <f>_xlfn.XLOOKUP($G122,'Modelling New'!$D:$D,'Modelling New'!$O:$O)*Plant_BD[[#This Row],[Lost PoA(kWh/m2)]]*Plant_BD[[#This Row],[DC Capacity Affected (kW)]]</f>
        <v>992.06232910348342</v>
      </c>
      <c r="AN122" s="6"/>
      <c r="AO122" s="6"/>
      <c r="AP122" s="224"/>
    </row>
    <row r="123" spans="1:42" x14ac:dyDescent="0.3">
      <c r="A123" s="171">
        <f t="shared" si="1"/>
        <v>122</v>
      </c>
      <c r="B123" s="200">
        <v>45752</v>
      </c>
      <c r="C123" s="212">
        <f>YEAR(Plant_BD[[#This Row],[Date]])+IF(MONTH(Plant_BD[[#This Row],[Date]])&gt;=4,1,0)</f>
        <v>2026</v>
      </c>
      <c r="D123" s="212">
        <f>YEAR(Plant_BD[[#This Row],[Date]])</f>
        <v>2025</v>
      </c>
      <c r="E123" s="77" t="s">
        <v>1070</v>
      </c>
      <c r="F123" s="77" t="s">
        <v>1070</v>
      </c>
      <c r="G123" s="213">
        <f>Plant_BD[[#This Row],[Date]]-DAY(Plant_BD[[#This Row],[Date]])+1</f>
        <v>45748</v>
      </c>
      <c r="H123" s="3">
        <f>DAY(EOMONTH(Plant_BD[[#This Row],[Month Year]],0))</f>
        <v>30</v>
      </c>
      <c r="I123" s="214">
        <f>_xlfn.XLOOKUP(Plant_BD[[#This Row],[Date]],'Raw Data'!$G:$G,'Raw Data'!$I:$I)</f>
        <v>0.25833333333333336</v>
      </c>
      <c r="J123" s="214">
        <f>_xlfn.XLOOKUP(Plant_BD[[#This Row],[Date]],'Raw Data'!$G:$G,'Raw Data'!$J:$J)</f>
        <v>0.76875000000000004</v>
      </c>
      <c r="K123" s="215">
        <f>IFERROR((Plant_BD[[#This Row],[Sunset Time (POA&lt;20 W/m2)]]-Plant_BD[[#This Row],[Sunrise Time (POA&gt;20 W/m2)]])*24,"")</f>
        <v>12.250000000000002</v>
      </c>
      <c r="L123" s="215"/>
      <c r="M123" s="215"/>
      <c r="N123" s="215"/>
      <c r="O123" s="215"/>
      <c r="P123" s="215"/>
      <c r="Q123" s="215"/>
      <c r="R123" s="215"/>
      <c r="S123" s="215"/>
      <c r="T123" s="216" t="s">
        <v>219</v>
      </c>
      <c r="U123" s="16">
        <f>IFERROR(_xlfn.XLOOKUP(Plant_BD[[#This Row],[Affected Equipment]],'Basic Data'!$A:$A,'Basic Data'!$B:$B),"")</f>
        <v>669.6</v>
      </c>
      <c r="V123" s="217">
        <f>IFERROR(_xlfn.XLOOKUP(Plant_BD[[#This Row],[Affected Equipment]],'Basic Data'!$A:$A,'Basic Data'!$C:$C),"")</f>
        <v>8.348190352703562E-2</v>
      </c>
      <c r="W123" s="218" t="s">
        <v>311</v>
      </c>
      <c r="X123" s="218" t="s">
        <v>1076</v>
      </c>
      <c r="Y123" s="218"/>
      <c r="Z123" s="219" t="s">
        <v>1076</v>
      </c>
      <c r="AA123" s="220">
        <v>0.55694444444444446</v>
      </c>
      <c r="AB123" s="220"/>
      <c r="AC123" s="220"/>
      <c r="AD123" s="220">
        <v>0.56041666666666667</v>
      </c>
      <c r="AE123" s="221">
        <f>IF(Plant_BD[[#This Row],[Acknowledgement Time ]]="NA","",(Plant_BD[[#This Row],[Acknowledgement Time ]]-Plant_BD[[#This Row],[Fault Time]])*24)</f>
        <v>-13.366666666666667</v>
      </c>
      <c r="AF123" s="221">
        <f>IF(Plant_BD[[#This Row],[Work Start time on Fault]]="NA","",(Plant_BD[[#This Row],[Work Start time on Fault]]-Plant_BD[[#This Row],[Fault Time]])*24)</f>
        <v>-13.366666666666667</v>
      </c>
      <c r="AG123" s="17">
        <f>(Plant_BD[[#This Row],[Work Completion time on fault]]-Plant_BD[[#This Row],[Fault Time]])*24</f>
        <v>8.3333333333333037E-2</v>
      </c>
      <c r="AH123" s="17">
        <f>IFERROR((Plant_BD[[#This Row],[Work Completion time on fault]]-Plant_BD[[#This Row],[Fault Time]])*24,"")</f>
        <v>8.3333333333333037E-2</v>
      </c>
      <c r="AI123" s="222" t="s">
        <v>1072</v>
      </c>
      <c r="AJ123" s="6" t="s">
        <v>1068</v>
      </c>
      <c r="AK123" s="223">
        <f>IFERROR(Plant_BD[[#This Row],[Breakdown Time]]*Plant_BD[[#This Row],[Plant Equivalent Weightage]],"")</f>
        <v>6.9568252939196107E-3</v>
      </c>
      <c r="AL123" s="6">
        <v>0.09</v>
      </c>
      <c r="AM123" s="221">
        <f>_xlfn.XLOOKUP($G123,'Modelling New'!$D:$D,'Modelling New'!$O:$O)*Plant_BD[[#This Row],[Lost PoA(kWh/m2)]]*Plant_BD[[#This Row],[DC Capacity Affected (kW)]]</f>
        <v>40.694757012404892</v>
      </c>
      <c r="AN123" s="6"/>
      <c r="AO123" s="6"/>
      <c r="AP123" s="224"/>
    </row>
    <row r="124" spans="1:42" x14ac:dyDescent="0.3">
      <c r="A124" s="171">
        <f t="shared" si="1"/>
        <v>123</v>
      </c>
      <c r="B124" s="200">
        <v>45752</v>
      </c>
      <c r="C124" s="212">
        <f>YEAR(Plant_BD[[#This Row],[Date]])+IF(MONTH(Plant_BD[[#This Row],[Date]])&gt;=4,1,0)</f>
        <v>2026</v>
      </c>
      <c r="D124" s="212">
        <f>YEAR(Plant_BD[[#This Row],[Date]])</f>
        <v>2025</v>
      </c>
      <c r="E124" s="77" t="s">
        <v>1070</v>
      </c>
      <c r="F124" s="77" t="s">
        <v>1070</v>
      </c>
      <c r="G124" s="213">
        <f>Plant_BD[[#This Row],[Date]]-DAY(Plant_BD[[#This Row],[Date]])+1</f>
        <v>45748</v>
      </c>
      <c r="H124" s="3">
        <f>DAY(EOMONTH(Plant_BD[[#This Row],[Month Year]],0))</f>
        <v>30</v>
      </c>
      <c r="I124" s="214">
        <f>_xlfn.XLOOKUP(Plant_BD[[#This Row],[Date]],'Raw Data'!$G:$G,'Raw Data'!$I:$I)</f>
        <v>0.25833333333333336</v>
      </c>
      <c r="J124" s="214">
        <f>_xlfn.XLOOKUP(Plant_BD[[#This Row],[Date]],'Raw Data'!$G:$G,'Raw Data'!$J:$J)</f>
        <v>0.76875000000000004</v>
      </c>
      <c r="K124" s="215">
        <f>IFERROR((Plant_BD[[#This Row],[Sunset Time (POA&lt;20 W/m2)]]-Plant_BD[[#This Row],[Sunrise Time (POA&gt;20 W/m2)]])*24,"")</f>
        <v>12.250000000000002</v>
      </c>
      <c r="L124" s="215"/>
      <c r="M124" s="215"/>
      <c r="N124" s="215"/>
      <c r="O124" s="215"/>
      <c r="P124" s="215"/>
      <c r="Q124" s="215"/>
      <c r="R124" s="215"/>
      <c r="S124" s="215"/>
      <c r="T124" s="216" t="s">
        <v>220</v>
      </c>
      <c r="U124" s="16">
        <f>IFERROR(_xlfn.XLOOKUP(Plant_BD[[#This Row],[Affected Equipment]],'Basic Data'!$A:$A,'Basic Data'!$B:$B),"")</f>
        <v>669.6</v>
      </c>
      <c r="V124" s="217">
        <f>IFERROR(_xlfn.XLOOKUP(Plant_BD[[#This Row],[Affected Equipment]],'Basic Data'!$A:$A,'Basic Data'!$C:$C),"")</f>
        <v>8.348190352703562E-2</v>
      </c>
      <c r="W124" s="218" t="s">
        <v>311</v>
      </c>
      <c r="X124" s="218" t="s">
        <v>1078</v>
      </c>
      <c r="Y124" s="218"/>
      <c r="Z124" s="219" t="s">
        <v>1078</v>
      </c>
      <c r="AA124" s="220">
        <v>0.55694444444444446</v>
      </c>
      <c r="AB124" s="220"/>
      <c r="AC124" s="220"/>
      <c r="AD124" s="220">
        <v>0.56041666666666667</v>
      </c>
      <c r="AE124" s="221">
        <f>IF(Plant_BD[[#This Row],[Acknowledgement Time ]]="NA","",(Plant_BD[[#This Row],[Acknowledgement Time ]]-Plant_BD[[#This Row],[Fault Time]])*24)</f>
        <v>-13.366666666666667</v>
      </c>
      <c r="AF124" s="221">
        <f>IF(Plant_BD[[#This Row],[Work Start time on Fault]]="NA","",(Plant_BD[[#This Row],[Work Start time on Fault]]-Plant_BD[[#This Row],[Fault Time]])*24)</f>
        <v>-13.366666666666667</v>
      </c>
      <c r="AG124" s="17">
        <f>(Plant_BD[[#This Row],[Work Completion time on fault]]-Plant_BD[[#This Row],[Fault Time]])*24</f>
        <v>8.3333333333333037E-2</v>
      </c>
      <c r="AH124" s="17">
        <f>IFERROR((Plant_BD[[#This Row],[Work Completion time on fault]]-Plant_BD[[#This Row],[Fault Time]])*24,"")</f>
        <v>8.3333333333333037E-2</v>
      </c>
      <c r="AI124" s="222" t="s">
        <v>1072</v>
      </c>
      <c r="AJ124" s="6" t="s">
        <v>1068</v>
      </c>
      <c r="AK124" s="223">
        <f>IFERROR(Plant_BD[[#This Row],[Breakdown Time]]*Plant_BD[[#This Row],[Plant Equivalent Weightage]],"")</f>
        <v>6.9568252939196107E-3</v>
      </c>
      <c r="AL124" s="6">
        <v>0.09</v>
      </c>
      <c r="AM124" s="221">
        <f>_xlfn.XLOOKUP($G124,'Modelling New'!$D:$D,'Modelling New'!$O:$O)*Plant_BD[[#This Row],[Lost PoA(kWh/m2)]]*Plant_BD[[#This Row],[DC Capacity Affected (kW)]]</f>
        <v>40.694757012404892</v>
      </c>
      <c r="AN124" s="6"/>
      <c r="AO124" s="6"/>
      <c r="AP124" s="224"/>
    </row>
    <row r="125" spans="1:42" x14ac:dyDescent="0.3">
      <c r="A125" s="171">
        <f t="shared" si="1"/>
        <v>124</v>
      </c>
      <c r="B125" s="200">
        <v>45752</v>
      </c>
      <c r="C125" s="212">
        <f>YEAR(Plant_BD[[#This Row],[Date]])+IF(MONTH(Plant_BD[[#This Row],[Date]])&gt;=4,1,0)</f>
        <v>2026</v>
      </c>
      <c r="D125" s="212">
        <f>YEAR(Plant_BD[[#This Row],[Date]])</f>
        <v>2025</v>
      </c>
      <c r="E125" s="77" t="s">
        <v>1070</v>
      </c>
      <c r="F125" s="77" t="s">
        <v>1070</v>
      </c>
      <c r="G125" s="213">
        <f>Plant_BD[[#This Row],[Date]]-DAY(Plant_BD[[#This Row],[Date]])+1</f>
        <v>45748</v>
      </c>
      <c r="H125" s="3">
        <f>DAY(EOMONTH(Plant_BD[[#This Row],[Month Year]],0))</f>
        <v>30</v>
      </c>
      <c r="I125" s="214">
        <f>_xlfn.XLOOKUP(Plant_BD[[#This Row],[Date]],'Raw Data'!$G:$G,'Raw Data'!$I:$I)</f>
        <v>0.25833333333333336</v>
      </c>
      <c r="J125" s="214">
        <f>_xlfn.XLOOKUP(Plant_BD[[#This Row],[Date]],'Raw Data'!$G:$G,'Raw Data'!$J:$J)</f>
        <v>0.76875000000000004</v>
      </c>
      <c r="K125" s="215">
        <f>IFERROR((Plant_BD[[#This Row],[Sunset Time (POA&lt;20 W/m2)]]-Plant_BD[[#This Row],[Sunrise Time (POA&gt;20 W/m2)]])*24,"")</f>
        <v>12.250000000000002</v>
      </c>
      <c r="L125" s="215"/>
      <c r="M125" s="215"/>
      <c r="N125" s="215"/>
      <c r="O125" s="215"/>
      <c r="P125" s="215"/>
      <c r="Q125" s="215"/>
      <c r="R125" s="215"/>
      <c r="S125" s="215"/>
      <c r="T125" s="216" t="s">
        <v>168</v>
      </c>
      <c r="U125" s="16">
        <f>IFERROR(_xlfn.XLOOKUP(Plant_BD[[#This Row],[Affected Equipment]],'Basic Data'!$A:$A,'Basic Data'!$B:$B),"")</f>
        <v>2694.6</v>
      </c>
      <c r="V125" s="217">
        <f>IFERROR(_xlfn.XLOOKUP(Plant_BD[[#This Row],[Affected Equipment]],'Basic Data'!$A:$A,'Basic Data'!$C:$C),"")</f>
        <v>0.33594733758057077</v>
      </c>
      <c r="W125" s="218" t="s">
        <v>311</v>
      </c>
      <c r="X125" s="218" t="s">
        <v>1077</v>
      </c>
      <c r="Y125" s="218"/>
      <c r="Z125" s="219" t="s">
        <v>1077</v>
      </c>
      <c r="AA125" s="220">
        <v>0.56041666666666667</v>
      </c>
      <c r="AB125" s="220"/>
      <c r="AC125" s="220"/>
      <c r="AD125" s="220">
        <v>0.58263888888888893</v>
      </c>
      <c r="AE125" s="221">
        <f>IF(Plant_BD[[#This Row],[Acknowledgement Time ]]="NA","",(Plant_BD[[#This Row],[Acknowledgement Time ]]-Plant_BD[[#This Row],[Fault Time]])*24)</f>
        <v>-13.45</v>
      </c>
      <c r="AF125" s="221">
        <f>IF(Plant_BD[[#This Row],[Work Start time on Fault]]="NA","",(Plant_BD[[#This Row],[Work Start time on Fault]]-Plant_BD[[#This Row],[Fault Time]])*24)</f>
        <v>-13.45</v>
      </c>
      <c r="AG125" s="17">
        <f>(Plant_BD[[#This Row],[Work Completion time on fault]]-Plant_BD[[#This Row],[Fault Time]])*24</f>
        <v>0.5333333333333341</v>
      </c>
      <c r="AH125" s="17">
        <f>IFERROR((Plant_BD[[#This Row],[Work Completion time on fault]]-Plant_BD[[#This Row],[Fault Time]])*24,"")</f>
        <v>0.5333333333333341</v>
      </c>
      <c r="AI125" s="222" t="s">
        <v>1074</v>
      </c>
      <c r="AJ125" s="6" t="s">
        <v>1069</v>
      </c>
      <c r="AK125" s="223">
        <f>IFERROR(Plant_BD[[#This Row],[Breakdown Time]]*Plant_BD[[#This Row],[Plant Equivalent Weightage]],"")</f>
        <v>0.17917191337630467</v>
      </c>
      <c r="AL125" s="6">
        <v>0.51</v>
      </c>
      <c r="AM125" s="221">
        <f>_xlfn.XLOOKUP($G125,'Modelling New'!$D:$D,'Modelling New'!$O:$O)*Plant_BD[[#This Row],[Lost PoA(kWh/m2)]]*Plant_BD[[#This Row],[DC Capacity Affected (kW)]]</f>
        <v>927.99361219416869</v>
      </c>
      <c r="AN125" s="6"/>
      <c r="AO125" s="6"/>
      <c r="AP125" s="224"/>
    </row>
    <row r="126" spans="1:42" x14ac:dyDescent="0.3">
      <c r="A126" s="171">
        <f t="shared" si="1"/>
        <v>125</v>
      </c>
      <c r="B126" s="200">
        <v>45752</v>
      </c>
      <c r="C126" s="212">
        <f>YEAR(Plant_BD[[#This Row],[Date]])+IF(MONTH(Plant_BD[[#This Row],[Date]])&gt;=4,1,0)</f>
        <v>2026</v>
      </c>
      <c r="D126" s="212">
        <f>YEAR(Plant_BD[[#This Row],[Date]])</f>
        <v>2025</v>
      </c>
      <c r="E126" s="77" t="s">
        <v>1070</v>
      </c>
      <c r="F126" s="77" t="s">
        <v>1070</v>
      </c>
      <c r="G126" s="213">
        <f>Plant_BD[[#This Row],[Date]]-DAY(Plant_BD[[#This Row],[Date]])+1</f>
        <v>45748</v>
      </c>
      <c r="H126" s="3">
        <f>DAY(EOMONTH(Plant_BD[[#This Row],[Month Year]],0))</f>
        <v>30</v>
      </c>
      <c r="I126" s="214">
        <f>_xlfn.XLOOKUP(Plant_BD[[#This Row],[Date]],'Raw Data'!$G:$G,'Raw Data'!$I:$I)</f>
        <v>0.25833333333333336</v>
      </c>
      <c r="J126" s="214">
        <f>_xlfn.XLOOKUP(Plant_BD[[#This Row],[Date]],'Raw Data'!$G:$G,'Raw Data'!$J:$J)</f>
        <v>0.76875000000000004</v>
      </c>
      <c r="K126" s="215">
        <f>IFERROR((Plant_BD[[#This Row],[Sunset Time (POA&lt;20 W/m2)]]-Plant_BD[[#This Row],[Sunrise Time (POA&gt;20 W/m2)]])*24,"")</f>
        <v>12.250000000000002</v>
      </c>
      <c r="L126" s="215"/>
      <c r="M126" s="215"/>
      <c r="N126" s="215"/>
      <c r="O126" s="215"/>
      <c r="P126" s="215"/>
      <c r="Q126" s="215"/>
      <c r="R126" s="215"/>
      <c r="S126" s="215"/>
      <c r="T126" s="216" t="s">
        <v>219</v>
      </c>
      <c r="U126" s="16">
        <f>IFERROR(_xlfn.XLOOKUP(Plant_BD[[#This Row],[Affected Equipment]],'Basic Data'!$A:$A,'Basic Data'!$B:$B),"")</f>
        <v>669.6</v>
      </c>
      <c r="V126" s="217">
        <f>IFERROR(_xlfn.XLOOKUP(Plant_BD[[#This Row],[Affected Equipment]],'Basic Data'!$A:$A,'Basic Data'!$C:$C),"")</f>
        <v>8.348190352703562E-2</v>
      </c>
      <c r="W126" s="218" t="s">
        <v>311</v>
      </c>
      <c r="X126" s="218" t="s">
        <v>1076</v>
      </c>
      <c r="Y126" s="218"/>
      <c r="Z126" s="219" t="s">
        <v>1076</v>
      </c>
      <c r="AA126" s="220">
        <v>0.58263888888888893</v>
      </c>
      <c r="AB126" s="220"/>
      <c r="AC126" s="220"/>
      <c r="AD126" s="220">
        <v>0.59097222222222223</v>
      </c>
      <c r="AE126" s="221">
        <f>IF(Plant_BD[[#This Row],[Acknowledgement Time ]]="NA","",(Plant_BD[[#This Row],[Acknowledgement Time ]]-Plant_BD[[#This Row],[Fault Time]])*24)</f>
        <v>-13.983333333333334</v>
      </c>
      <c r="AF126" s="221">
        <f>IF(Plant_BD[[#This Row],[Work Start time on Fault]]="NA","",(Plant_BD[[#This Row],[Work Start time on Fault]]-Plant_BD[[#This Row],[Fault Time]])*24)</f>
        <v>-13.983333333333334</v>
      </c>
      <c r="AG126" s="17">
        <f>(Plant_BD[[#This Row],[Work Completion time on fault]]-Plant_BD[[#This Row],[Fault Time]])*24</f>
        <v>0.19999999999999929</v>
      </c>
      <c r="AH126" s="17">
        <f>IFERROR((Plant_BD[[#This Row],[Work Completion time on fault]]-Plant_BD[[#This Row],[Fault Time]])*24,"")</f>
        <v>0.19999999999999929</v>
      </c>
      <c r="AI126" s="222" t="s">
        <v>1072</v>
      </c>
      <c r="AJ126" s="6" t="s">
        <v>1068</v>
      </c>
      <c r="AK126" s="223">
        <f>IFERROR(Plant_BD[[#This Row],[Breakdown Time]]*Plant_BD[[#This Row],[Plant Equivalent Weightage]],"")</f>
        <v>1.6696380705407066E-2</v>
      </c>
      <c r="AL126" s="6">
        <v>0.19</v>
      </c>
      <c r="AM126" s="221">
        <f>_xlfn.XLOOKUP($G126,'Modelling New'!$D:$D,'Modelling New'!$O:$O)*Plant_BD[[#This Row],[Lost PoA(kWh/m2)]]*Plant_BD[[#This Row],[DC Capacity Affected (kW)]]</f>
        <v>85.911153692854782</v>
      </c>
      <c r="AN126" s="6"/>
      <c r="AO126" s="6"/>
      <c r="AP126" s="224"/>
    </row>
    <row r="127" spans="1:42" x14ac:dyDescent="0.3">
      <c r="A127" s="171">
        <f t="shared" si="1"/>
        <v>126</v>
      </c>
      <c r="B127" s="200">
        <v>45752</v>
      </c>
      <c r="C127" s="212">
        <f>YEAR(Plant_BD[[#This Row],[Date]])+IF(MONTH(Plant_BD[[#This Row],[Date]])&gt;=4,1,0)</f>
        <v>2026</v>
      </c>
      <c r="D127" s="212">
        <f>YEAR(Plant_BD[[#This Row],[Date]])</f>
        <v>2025</v>
      </c>
      <c r="E127" s="77" t="s">
        <v>1070</v>
      </c>
      <c r="F127" s="77" t="s">
        <v>1070</v>
      </c>
      <c r="G127" s="213">
        <f>Plant_BD[[#This Row],[Date]]-DAY(Plant_BD[[#This Row],[Date]])+1</f>
        <v>45748</v>
      </c>
      <c r="H127" s="3">
        <f>DAY(EOMONTH(Plant_BD[[#This Row],[Month Year]],0))</f>
        <v>30</v>
      </c>
      <c r="I127" s="214">
        <f>_xlfn.XLOOKUP(Plant_BD[[#This Row],[Date]],'Raw Data'!$G:$G,'Raw Data'!$I:$I)</f>
        <v>0.25833333333333336</v>
      </c>
      <c r="J127" s="214">
        <f>_xlfn.XLOOKUP(Plant_BD[[#This Row],[Date]],'Raw Data'!$G:$G,'Raw Data'!$J:$J)</f>
        <v>0.76875000000000004</v>
      </c>
      <c r="K127" s="215">
        <f>IFERROR((Plant_BD[[#This Row],[Sunset Time (POA&lt;20 W/m2)]]-Plant_BD[[#This Row],[Sunrise Time (POA&gt;20 W/m2)]])*24,"")</f>
        <v>12.250000000000002</v>
      </c>
      <c r="L127" s="215"/>
      <c r="M127" s="215"/>
      <c r="N127" s="215"/>
      <c r="O127" s="215"/>
      <c r="P127" s="215"/>
      <c r="Q127" s="215"/>
      <c r="R127" s="215"/>
      <c r="S127" s="215"/>
      <c r="T127" s="216" t="s">
        <v>220</v>
      </c>
      <c r="U127" s="16">
        <f>IFERROR(_xlfn.XLOOKUP(Plant_BD[[#This Row],[Affected Equipment]],'Basic Data'!$A:$A,'Basic Data'!$B:$B),"")</f>
        <v>669.6</v>
      </c>
      <c r="V127" s="217">
        <f>IFERROR(_xlfn.XLOOKUP(Plant_BD[[#This Row],[Affected Equipment]],'Basic Data'!$A:$A,'Basic Data'!$C:$C),"")</f>
        <v>8.348190352703562E-2</v>
      </c>
      <c r="W127" s="218" t="s">
        <v>311</v>
      </c>
      <c r="X127" s="218" t="s">
        <v>1078</v>
      </c>
      <c r="Y127" s="218"/>
      <c r="Z127" s="219" t="s">
        <v>1078</v>
      </c>
      <c r="AA127" s="220">
        <v>0.58263888888888893</v>
      </c>
      <c r="AB127" s="220"/>
      <c r="AC127" s="220"/>
      <c r="AD127" s="220">
        <v>0.59097222222222223</v>
      </c>
      <c r="AE127" s="221">
        <f>IF(Plant_BD[[#This Row],[Acknowledgement Time ]]="NA","",(Plant_BD[[#This Row],[Acknowledgement Time ]]-Plant_BD[[#This Row],[Fault Time]])*24)</f>
        <v>-13.983333333333334</v>
      </c>
      <c r="AF127" s="221">
        <f>IF(Plant_BD[[#This Row],[Work Start time on Fault]]="NA","",(Plant_BD[[#This Row],[Work Start time on Fault]]-Plant_BD[[#This Row],[Fault Time]])*24)</f>
        <v>-13.983333333333334</v>
      </c>
      <c r="AG127" s="17">
        <f>(Plant_BD[[#This Row],[Work Completion time on fault]]-Plant_BD[[#This Row],[Fault Time]])*24</f>
        <v>0.19999999999999929</v>
      </c>
      <c r="AH127" s="17">
        <f>IFERROR((Plant_BD[[#This Row],[Work Completion time on fault]]-Plant_BD[[#This Row],[Fault Time]])*24,"")</f>
        <v>0.19999999999999929</v>
      </c>
      <c r="AI127" s="222" t="s">
        <v>1072</v>
      </c>
      <c r="AJ127" s="6" t="s">
        <v>1068</v>
      </c>
      <c r="AK127" s="223">
        <f>IFERROR(Plant_BD[[#This Row],[Breakdown Time]]*Plant_BD[[#This Row],[Plant Equivalent Weightage]],"")</f>
        <v>1.6696380705407066E-2</v>
      </c>
      <c r="AL127" s="6">
        <v>0.19</v>
      </c>
      <c r="AM127" s="221">
        <f>_xlfn.XLOOKUP($G127,'Modelling New'!$D:$D,'Modelling New'!$O:$O)*Plant_BD[[#This Row],[Lost PoA(kWh/m2)]]*Plant_BD[[#This Row],[DC Capacity Affected (kW)]]</f>
        <v>85.911153692854782</v>
      </c>
      <c r="AN127" s="6"/>
      <c r="AO127" s="6"/>
      <c r="AP127" s="224"/>
    </row>
    <row r="128" spans="1:42" x14ac:dyDescent="0.3">
      <c r="A128" s="171">
        <f t="shared" si="1"/>
        <v>127</v>
      </c>
      <c r="B128" s="200">
        <v>45752</v>
      </c>
      <c r="C128" s="212">
        <f>YEAR(Plant_BD[[#This Row],[Date]])+IF(MONTH(Plant_BD[[#This Row],[Date]])&gt;=4,1,0)</f>
        <v>2026</v>
      </c>
      <c r="D128" s="212">
        <f>YEAR(Plant_BD[[#This Row],[Date]])</f>
        <v>2025</v>
      </c>
      <c r="E128" s="77" t="s">
        <v>1070</v>
      </c>
      <c r="F128" s="77" t="s">
        <v>1070</v>
      </c>
      <c r="G128" s="213">
        <f>Plant_BD[[#This Row],[Date]]-DAY(Plant_BD[[#This Row],[Date]])+1</f>
        <v>45748</v>
      </c>
      <c r="H128" s="3">
        <f>DAY(EOMONTH(Plant_BD[[#This Row],[Month Year]],0))</f>
        <v>30</v>
      </c>
      <c r="I128" s="214">
        <f>_xlfn.XLOOKUP(Plant_BD[[#This Row],[Date]],'Raw Data'!$G:$G,'Raw Data'!$I:$I)</f>
        <v>0.25833333333333336</v>
      </c>
      <c r="J128" s="214">
        <f>_xlfn.XLOOKUP(Plant_BD[[#This Row],[Date]],'Raw Data'!$G:$G,'Raw Data'!$J:$J)</f>
        <v>0.76875000000000004</v>
      </c>
      <c r="K128" s="215">
        <f>IFERROR((Plant_BD[[#This Row],[Sunset Time (POA&lt;20 W/m2)]]-Plant_BD[[#This Row],[Sunrise Time (POA&gt;20 W/m2)]])*24,"")</f>
        <v>12.250000000000002</v>
      </c>
      <c r="L128" s="215"/>
      <c r="M128" s="215"/>
      <c r="N128" s="215"/>
      <c r="O128" s="215"/>
      <c r="P128" s="215"/>
      <c r="Q128" s="215"/>
      <c r="R128" s="215"/>
      <c r="S128" s="215"/>
      <c r="T128" s="216" t="s">
        <v>168</v>
      </c>
      <c r="U128" s="16">
        <f>IFERROR(_xlfn.XLOOKUP(Plant_BD[[#This Row],[Affected Equipment]],'Basic Data'!$A:$A,'Basic Data'!$B:$B),"")</f>
        <v>2694.6</v>
      </c>
      <c r="V128" s="217">
        <f>IFERROR(_xlfn.XLOOKUP(Plant_BD[[#This Row],[Affected Equipment]],'Basic Data'!$A:$A,'Basic Data'!$C:$C),"")</f>
        <v>0.33594733758057077</v>
      </c>
      <c r="W128" s="218" t="s">
        <v>311</v>
      </c>
      <c r="X128" s="218" t="s">
        <v>1077</v>
      </c>
      <c r="Y128" s="218"/>
      <c r="Z128" s="219" t="s">
        <v>1077</v>
      </c>
      <c r="AA128" s="220">
        <v>0.59097222222222223</v>
      </c>
      <c r="AB128" s="220"/>
      <c r="AC128" s="220"/>
      <c r="AD128" s="220">
        <v>0.59861111111111109</v>
      </c>
      <c r="AE128" s="221">
        <f>IF(Plant_BD[[#This Row],[Acknowledgement Time ]]="NA","",(Plant_BD[[#This Row],[Acknowledgement Time ]]-Plant_BD[[#This Row],[Fault Time]])*24)</f>
        <v>-14.183333333333334</v>
      </c>
      <c r="AF128" s="221">
        <f>IF(Plant_BD[[#This Row],[Work Start time on Fault]]="NA","",(Plant_BD[[#This Row],[Work Start time on Fault]]-Plant_BD[[#This Row],[Fault Time]])*24)</f>
        <v>-14.183333333333334</v>
      </c>
      <c r="AG128" s="17">
        <f>(Plant_BD[[#This Row],[Work Completion time on fault]]-Plant_BD[[#This Row],[Fault Time]])*24</f>
        <v>0.18333333333333268</v>
      </c>
      <c r="AH128" s="17">
        <f>IFERROR((Plant_BD[[#This Row],[Work Completion time on fault]]-Plant_BD[[#This Row],[Fault Time]])*24,"")</f>
        <v>0.18333333333333268</v>
      </c>
      <c r="AI128" s="222" t="s">
        <v>1074</v>
      </c>
      <c r="AJ128" s="6" t="s">
        <v>1069</v>
      </c>
      <c r="AK128" s="223">
        <f>IFERROR(Plant_BD[[#This Row],[Breakdown Time]]*Plant_BD[[#This Row],[Plant Equivalent Weightage]],"")</f>
        <v>6.1590345223104422E-2</v>
      </c>
      <c r="AL128" s="6">
        <v>0.17</v>
      </c>
      <c r="AM128" s="221">
        <f>_xlfn.XLOOKUP($G128,'Modelling New'!$D:$D,'Modelling New'!$O:$O)*Plant_BD[[#This Row],[Lost PoA(kWh/m2)]]*Plant_BD[[#This Row],[DC Capacity Affected (kW)]]</f>
        <v>309.3312040647229</v>
      </c>
      <c r="AN128" s="6"/>
      <c r="AO128" s="6"/>
      <c r="AP128" s="224"/>
    </row>
    <row r="129" spans="1:42" x14ac:dyDescent="0.3">
      <c r="A129" s="171">
        <f t="shared" si="1"/>
        <v>128</v>
      </c>
      <c r="B129" s="200">
        <v>45752</v>
      </c>
      <c r="C129" s="212">
        <f>YEAR(Plant_BD[[#This Row],[Date]])+IF(MONTH(Plant_BD[[#This Row],[Date]])&gt;=4,1,0)</f>
        <v>2026</v>
      </c>
      <c r="D129" s="212">
        <f>YEAR(Plant_BD[[#This Row],[Date]])</f>
        <v>2025</v>
      </c>
      <c r="E129" s="77" t="s">
        <v>1070</v>
      </c>
      <c r="F129" s="77" t="s">
        <v>1070</v>
      </c>
      <c r="G129" s="213">
        <f>Plant_BD[[#This Row],[Date]]-DAY(Plant_BD[[#This Row],[Date]])+1</f>
        <v>45748</v>
      </c>
      <c r="H129" s="3">
        <f>DAY(EOMONTH(Plant_BD[[#This Row],[Month Year]],0))</f>
        <v>30</v>
      </c>
      <c r="I129" s="214">
        <f>_xlfn.XLOOKUP(Plant_BD[[#This Row],[Date]],'Raw Data'!$G:$G,'Raw Data'!$I:$I)</f>
        <v>0.25833333333333336</v>
      </c>
      <c r="J129" s="214">
        <f>_xlfn.XLOOKUP(Plant_BD[[#This Row],[Date]],'Raw Data'!$G:$G,'Raw Data'!$J:$J)</f>
        <v>0.76875000000000004</v>
      </c>
      <c r="K129" s="215">
        <f>IFERROR((Plant_BD[[#This Row],[Sunset Time (POA&lt;20 W/m2)]]-Plant_BD[[#This Row],[Sunrise Time (POA&gt;20 W/m2)]])*24,"")</f>
        <v>12.250000000000002</v>
      </c>
      <c r="L129" s="215"/>
      <c r="M129" s="215"/>
      <c r="N129" s="215"/>
      <c r="O129" s="215"/>
      <c r="P129" s="215"/>
      <c r="Q129" s="215"/>
      <c r="R129" s="215"/>
      <c r="S129" s="215"/>
      <c r="T129" s="216" t="s">
        <v>219</v>
      </c>
      <c r="U129" s="16">
        <f>IFERROR(_xlfn.XLOOKUP(Plant_BD[[#This Row],[Affected Equipment]],'Basic Data'!$A:$A,'Basic Data'!$B:$B),"")</f>
        <v>669.6</v>
      </c>
      <c r="V129" s="217">
        <f>IFERROR(_xlfn.XLOOKUP(Plant_BD[[#This Row],[Affected Equipment]],'Basic Data'!$A:$A,'Basic Data'!$C:$C),"")</f>
        <v>8.348190352703562E-2</v>
      </c>
      <c r="W129" s="218" t="s">
        <v>311</v>
      </c>
      <c r="X129" s="218" t="s">
        <v>1076</v>
      </c>
      <c r="Y129" s="218"/>
      <c r="Z129" s="219" t="s">
        <v>1076</v>
      </c>
      <c r="AA129" s="220">
        <v>0.59861111111111109</v>
      </c>
      <c r="AB129" s="220"/>
      <c r="AC129" s="220"/>
      <c r="AD129" s="220">
        <v>0.60277777777777775</v>
      </c>
      <c r="AE129" s="221">
        <f>IF(Plant_BD[[#This Row],[Acknowledgement Time ]]="NA","",(Plant_BD[[#This Row],[Acknowledgement Time ]]-Plant_BD[[#This Row],[Fault Time]])*24)</f>
        <v>-14.366666666666667</v>
      </c>
      <c r="AF129" s="221">
        <f>IF(Plant_BD[[#This Row],[Work Start time on Fault]]="NA","",(Plant_BD[[#This Row],[Work Start time on Fault]]-Plant_BD[[#This Row],[Fault Time]])*24)</f>
        <v>-14.366666666666667</v>
      </c>
      <c r="AG129" s="17">
        <f>(Plant_BD[[#This Row],[Work Completion time on fault]]-Plant_BD[[#This Row],[Fault Time]])*24</f>
        <v>9.9999999999999645E-2</v>
      </c>
      <c r="AH129" s="17">
        <f>IFERROR((Plant_BD[[#This Row],[Work Completion time on fault]]-Plant_BD[[#This Row],[Fault Time]])*24,"")</f>
        <v>9.9999999999999645E-2</v>
      </c>
      <c r="AI129" s="222" t="s">
        <v>1072</v>
      </c>
      <c r="AJ129" s="6" t="s">
        <v>1068</v>
      </c>
      <c r="AK129" s="223">
        <f>IFERROR(Plant_BD[[#This Row],[Breakdown Time]]*Plant_BD[[#This Row],[Plant Equivalent Weightage]],"")</f>
        <v>8.3481903527035332E-3</v>
      </c>
      <c r="AL129" s="6">
        <v>0.1</v>
      </c>
      <c r="AM129" s="221">
        <f>_xlfn.XLOOKUP($G129,'Modelling New'!$D:$D,'Modelling New'!$O:$O)*Plant_BD[[#This Row],[Lost PoA(kWh/m2)]]*Plant_BD[[#This Row],[DC Capacity Affected (kW)]]</f>
        <v>45.21639668044989</v>
      </c>
      <c r="AN129" s="6"/>
      <c r="AO129" s="6"/>
      <c r="AP129" s="224"/>
    </row>
    <row r="130" spans="1:42" x14ac:dyDescent="0.3">
      <c r="A130" s="171">
        <f t="shared" si="1"/>
        <v>129</v>
      </c>
      <c r="B130" s="200">
        <v>45752</v>
      </c>
      <c r="C130" s="212">
        <f>YEAR(Plant_BD[[#This Row],[Date]])+IF(MONTH(Plant_BD[[#This Row],[Date]])&gt;=4,1,0)</f>
        <v>2026</v>
      </c>
      <c r="D130" s="212">
        <f>YEAR(Plant_BD[[#This Row],[Date]])</f>
        <v>2025</v>
      </c>
      <c r="E130" s="77" t="s">
        <v>1070</v>
      </c>
      <c r="F130" s="77" t="s">
        <v>1070</v>
      </c>
      <c r="G130" s="213">
        <f>Plant_BD[[#This Row],[Date]]-DAY(Plant_BD[[#This Row],[Date]])+1</f>
        <v>45748</v>
      </c>
      <c r="H130" s="3">
        <f>DAY(EOMONTH(Plant_BD[[#This Row],[Month Year]],0))</f>
        <v>30</v>
      </c>
      <c r="I130" s="214">
        <f>_xlfn.XLOOKUP(Plant_BD[[#This Row],[Date]],'Raw Data'!$G:$G,'Raw Data'!$I:$I)</f>
        <v>0.25833333333333336</v>
      </c>
      <c r="J130" s="214">
        <f>_xlfn.XLOOKUP(Plant_BD[[#This Row],[Date]],'Raw Data'!$G:$G,'Raw Data'!$J:$J)</f>
        <v>0.76875000000000004</v>
      </c>
      <c r="K130" s="215">
        <f>IFERROR((Plant_BD[[#This Row],[Sunset Time (POA&lt;20 W/m2)]]-Plant_BD[[#This Row],[Sunrise Time (POA&gt;20 W/m2)]])*24,"")</f>
        <v>12.250000000000002</v>
      </c>
      <c r="L130" s="215"/>
      <c r="M130" s="215"/>
      <c r="N130" s="215"/>
      <c r="O130" s="215"/>
      <c r="P130" s="215"/>
      <c r="Q130" s="215"/>
      <c r="R130" s="215"/>
      <c r="S130" s="215"/>
      <c r="T130" s="216" t="s">
        <v>220</v>
      </c>
      <c r="U130" s="16">
        <f>IFERROR(_xlfn.XLOOKUP(Plant_BD[[#This Row],[Affected Equipment]],'Basic Data'!$A:$A,'Basic Data'!$B:$B),"")</f>
        <v>669.6</v>
      </c>
      <c r="V130" s="217">
        <f>IFERROR(_xlfn.XLOOKUP(Plant_BD[[#This Row],[Affected Equipment]],'Basic Data'!$A:$A,'Basic Data'!$C:$C),"")</f>
        <v>8.348190352703562E-2</v>
      </c>
      <c r="W130" s="218" t="s">
        <v>311</v>
      </c>
      <c r="X130" s="218" t="s">
        <v>1078</v>
      </c>
      <c r="Y130" s="218"/>
      <c r="Z130" s="219" t="s">
        <v>1078</v>
      </c>
      <c r="AA130" s="220">
        <v>0.59861111111111109</v>
      </c>
      <c r="AB130" s="220"/>
      <c r="AC130" s="220"/>
      <c r="AD130" s="220">
        <v>0.60277777777777775</v>
      </c>
      <c r="AE130" s="221">
        <f>IF(Plant_BD[[#This Row],[Acknowledgement Time ]]="NA","",(Plant_BD[[#This Row],[Acknowledgement Time ]]-Plant_BD[[#This Row],[Fault Time]])*24)</f>
        <v>-14.366666666666667</v>
      </c>
      <c r="AF130" s="221">
        <f>IF(Plant_BD[[#This Row],[Work Start time on Fault]]="NA","",(Plant_BD[[#This Row],[Work Start time on Fault]]-Plant_BD[[#This Row],[Fault Time]])*24)</f>
        <v>-14.366666666666667</v>
      </c>
      <c r="AG130" s="17">
        <f>(Plant_BD[[#This Row],[Work Completion time on fault]]-Plant_BD[[#This Row],[Fault Time]])*24</f>
        <v>9.9999999999999645E-2</v>
      </c>
      <c r="AH130" s="17">
        <f>IFERROR((Plant_BD[[#This Row],[Work Completion time on fault]]-Plant_BD[[#This Row],[Fault Time]])*24,"")</f>
        <v>9.9999999999999645E-2</v>
      </c>
      <c r="AI130" s="222" t="s">
        <v>1072</v>
      </c>
      <c r="AJ130" s="6" t="s">
        <v>1068</v>
      </c>
      <c r="AK130" s="223">
        <f>IFERROR(Plant_BD[[#This Row],[Breakdown Time]]*Plant_BD[[#This Row],[Plant Equivalent Weightage]],"")</f>
        <v>8.3481903527035332E-3</v>
      </c>
      <c r="AL130" s="6">
        <v>0.1</v>
      </c>
      <c r="AM130" s="221">
        <f>_xlfn.XLOOKUP($G130,'Modelling New'!$D:$D,'Modelling New'!$O:$O)*Plant_BD[[#This Row],[Lost PoA(kWh/m2)]]*Plant_BD[[#This Row],[DC Capacity Affected (kW)]]</f>
        <v>45.21639668044989</v>
      </c>
      <c r="AN130" s="6"/>
      <c r="AO130" s="6"/>
      <c r="AP130" s="224"/>
    </row>
    <row r="131" spans="1:42" x14ac:dyDescent="0.3">
      <c r="A131" s="171">
        <f t="shared" si="1"/>
        <v>130</v>
      </c>
      <c r="B131" s="200">
        <v>45752</v>
      </c>
      <c r="C131" s="212">
        <f>YEAR(Plant_BD[[#This Row],[Date]])+IF(MONTH(Plant_BD[[#This Row],[Date]])&gt;=4,1,0)</f>
        <v>2026</v>
      </c>
      <c r="D131" s="212">
        <f>YEAR(Plant_BD[[#This Row],[Date]])</f>
        <v>2025</v>
      </c>
      <c r="E131" s="77" t="s">
        <v>1070</v>
      </c>
      <c r="F131" s="77" t="s">
        <v>1070</v>
      </c>
      <c r="G131" s="213">
        <f>Plant_BD[[#This Row],[Date]]-DAY(Plant_BD[[#This Row],[Date]])+1</f>
        <v>45748</v>
      </c>
      <c r="H131" s="3">
        <f>DAY(EOMONTH(Plant_BD[[#This Row],[Month Year]],0))</f>
        <v>30</v>
      </c>
      <c r="I131" s="214">
        <f>_xlfn.XLOOKUP(Plant_BD[[#This Row],[Date]],'Raw Data'!$G:$G,'Raw Data'!$I:$I)</f>
        <v>0.25833333333333336</v>
      </c>
      <c r="J131" s="214">
        <f>_xlfn.XLOOKUP(Plant_BD[[#This Row],[Date]],'Raw Data'!$G:$G,'Raw Data'!$J:$J)</f>
        <v>0.76875000000000004</v>
      </c>
      <c r="K131" s="215">
        <f>IFERROR((Plant_BD[[#This Row],[Sunset Time (POA&lt;20 W/m2)]]-Plant_BD[[#This Row],[Sunrise Time (POA&gt;20 W/m2)]])*24,"")</f>
        <v>12.250000000000002</v>
      </c>
      <c r="L131" s="215"/>
      <c r="M131" s="215"/>
      <c r="N131" s="215"/>
      <c r="O131" s="215"/>
      <c r="P131" s="215"/>
      <c r="Q131" s="215"/>
      <c r="R131" s="215"/>
      <c r="S131" s="215"/>
      <c r="T131" s="216" t="s">
        <v>168</v>
      </c>
      <c r="U131" s="16">
        <f>IFERROR(_xlfn.XLOOKUP(Plant_BD[[#This Row],[Affected Equipment]],'Basic Data'!$A:$A,'Basic Data'!$B:$B),"")</f>
        <v>2694.6</v>
      </c>
      <c r="V131" s="217">
        <f>IFERROR(_xlfn.XLOOKUP(Plant_BD[[#This Row],[Affected Equipment]],'Basic Data'!$A:$A,'Basic Data'!$C:$C),"")</f>
        <v>0.33594733758057077</v>
      </c>
      <c r="W131" s="218" t="s">
        <v>311</v>
      </c>
      <c r="X131" s="218" t="s">
        <v>1077</v>
      </c>
      <c r="Y131" s="218"/>
      <c r="Z131" s="219" t="s">
        <v>1077</v>
      </c>
      <c r="AA131" s="220">
        <v>0.60277777777777775</v>
      </c>
      <c r="AB131" s="220"/>
      <c r="AC131" s="220"/>
      <c r="AD131" s="220">
        <v>0.60833333333333328</v>
      </c>
      <c r="AE131" s="221">
        <f>IF(Plant_BD[[#This Row],[Acknowledgement Time ]]="NA","",(Plant_BD[[#This Row],[Acknowledgement Time ]]-Plant_BD[[#This Row],[Fault Time]])*24)</f>
        <v>-14.466666666666665</v>
      </c>
      <c r="AF131" s="221">
        <f>IF(Plant_BD[[#This Row],[Work Start time on Fault]]="NA","",(Plant_BD[[#This Row],[Work Start time on Fault]]-Plant_BD[[#This Row],[Fault Time]])*24)</f>
        <v>-14.466666666666665</v>
      </c>
      <c r="AG131" s="17">
        <f>(Plant_BD[[#This Row],[Work Completion time on fault]]-Plant_BD[[#This Row],[Fault Time]])*24</f>
        <v>0.13333333333333286</v>
      </c>
      <c r="AH131" s="17">
        <f>IFERROR((Plant_BD[[#This Row],[Work Completion time on fault]]-Plant_BD[[#This Row],[Fault Time]])*24,"")</f>
        <v>0.13333333333333286</v>
      </c>
      <c r="AI131" s="222" t="s">
        <v>1074</v>
      </c>
      <c r="AJ131" s="6" t="s">
        <v>1069</v>
      </c>
      <c r="AK131" s="223">
        <f>IFERROR(Plant_BD[[#This Row],[Breakdown Time]]*Plant_BD[[#This Row],[Plant Equivalent Weightage]],"")</f>
        <v>4.4792978344075945E-2</v>
      </c>
      <c r="AL131" s="6">
        <v>0.12</v>
      </c>
      <c r="AM131" s="221">
        <f>_xlfn.XLOOKUP($G131,'Modelling New'!$D:$D,'Modelling New'!$O:$O)*Plant_BD[[#This Row],[Lost PoA(kWh/m2)]]*Plant_BD[[#This Row],[DC Capacity Affected (kW)]]</f>
        <v>218.3514381633338</v>
      </c>
      <c r="AN131" s="6"/>
      <c r="AO131" s="6"/>
      <c r="AP131" s="224"/>
    </row>
    <row r="132" spans="1:42" x14ac:dyDescent="0.3">
      <c r="A132" s="171">
        <f t="shared" ref="A132:A195" si="2">A131+1</f>
        <v>131</v>
      </c>
      <c r="B132" s="200">
        <v>45752</v>
      </c>
      <c r="C132" s="212">
        <f>YEAR(Plant_BD[[#This Row],[Date]])+IF(MONTH(Plant_BD[[#This Row],[Date]])&gt;=4,1,0)</f>
        <v>2026</v>
      </c>
      <c r="D132" s="212">
        <f>YEAR(Plant_BD[[#This Row],[Date]])</f>
        <v>2025</v>
      </c>
      <c r="E132" s="77" t="s">
        <v>1070</v>
      </c>
      <c r="F132" s="77" t="s">
        <v>1070</v>
      </c>
      <c r="G132" s="213">
        <f>Plant_BD[[#This Row],[Date]]-DAY(Plant_BD[[#This Row],[Date]])+1</f>
        <v>45748</v>
      </c>
      <c r="H132" s="3">
        <f>DAY(EOMONTH(Plant_BD[[#This Row],[Month Year]],0))</f>
        <v>30</v>
      </c>
      <c r="I132" s="214">
        <f>_xlfn.XLOOKUP(Plant_BD[[#This Row],[Date]],'Raw Data'!$G:$G,'Raw Data'!$I:$I)</f>
        <v>0.25833333333333336</v>
      </c>
      <c r="J132" s="214">
        <f>_xlfn.XLOOKUP(Plant_BD[[#This Row],[Date]],'Raw Data'!$G:$G,'Raw Data'!$J:$J)</f>
        <v>0.76875000000000004</v>
      </c>
      <c r="K132" s="215">
        <f>IFERROR((Plant_BD[[#This Row],[Sunset Time (POA&lt;20 W/m2)]]-Plant_BD[[#This Row],[Sunrise Time (POA&gt;20 W/m2)]])*24,"")</f>
        <v>12.250000000000002</v>
      </c>
      <c r="L132" s="215"/>
      <c r="M132" s="215"/>
      <c r="N132" s="215"/>
      <c r="O132" s="215"/>
      <c r="P132" s="215"/>
      <c r="Q132" s="215"/>
      <c r="R132" s="215"/>
      <c r="S132" s="215"/>
      <c r="T132" s="216" t="s">
        <v>219</v>
      </c>
      <c r="U132" s="16">
        <f>IFERROR(_xlfn.XLOOKUP(Plant_BD[[#This Row],[Affected Equipment]],'Basic Data'!$A:$A,'Basic Data'!$B:$B),"")</f>
        <v>669.6</v>
      </c>
      <c r="V132" s="217">
        <f>IFERROR(_xlfn.XLOOKUP(Plant_BD[[#This Row],[Affected Equipment]],'Basic Data'!$A:$A,'Basic Data'!$C:$C),"")</f>
        <v>8.348190352703562E-2</v>
      </c>
      <c r="W132" s="218" t="s">
        <v>311</v>
      </c>
      <c r="X132" s="218" t="s">
        <v>1076</v>
      </c>
      <c r="Y132" s="218"/>
      <c r="Z132" s="219" t="s">
        <v>1076</v>
      </c>
      <c r="AA132" s="220">
        <v>0.60833333333333328</v>
      </c>
      <c r="AB132" s="220"/>
      <c r="AC132" s="220"/>
      <c r="AD132" s="220">
        <v>0.61458333333333337</v>
      </c>
      <c r="AE132" s="221">
        <f>IF(Plant_BD[[#This Row],[Acknowledgement Time ]]="NA","",(Plant_BD[[#This Row],[Acknowledgement Time ]]-Plant_BD[[#This Row],[Fault Time]])*24)</f>
        <v>-14.599999999999998</v>
      </c>
      <c r="AF132" s="221">
        <f>IF(Plant_BD[[#This Row],[Work Start time on Fault]]="NA","",(Plant_BD[[#This Row],[Work Start time on Fault]]-Plant_BD[[#This Row],[Fault Time]])*24)</f>
        <v>-14.599999999999998</v>
      </c>
      <c r="AG132" s="17">
        <f>(Plant_BD[[#This Row],[Work Completion time on fault]]-Plant_BD[[#This Row],[Fault Time]])*24</f>
        <v>0.15000000000000213</v>
      </c>
      <c r="AH132" s="17">
        <f>IFERROR((Plant_BD[[#This Row],[Work Completion time on fault]]-Plant_BD[[#This Row],[Fault Time]])*24,"")</f>
        <v>0.15000000000000213</v>
      </c>
      <c r="AI132" s="222" t="s">
        <v>1072</v>
      </c>
      <c r="AJ132" s="6" t="s">
        <v>1068</v>
      </c>
      <c r="AK132" s="223">
        <f>IFERROR(Plant_BD[[#This Row],[Breakdown Time]]*Plant_BD[[#This Row],[Plant Equivalent Weightage]],"")</f>
        <v>1.2522285529055521E-2</v>
      </c>
      <c r="AL132" s="6">
        <v>0.13</v>
      </c>
      <c r="AM132" s="221">
        <f>_xlfn.XLOOKUP($G132,'Modelling New'!$D:$D,'Modelling New'!$O:$O)*Plant_BD[[#This Row],[Lost PoA(kWh/m2)]]*Plant_BD[[#This Row],[DC Capacity Affected (kW)]]</f>
        <v>58.781315684584854</v>
      </c>
      <c r="AN132" s="6"/>
      <c r="AO132" s="6"/>
      <c r="AP132" s="224"/>
    </row>
    <row r="133" spans="1:42" x14ac:dyDescent="0.3">
      <c r="A133" s="171">
        <f t="shared" si="2"/>
        <v>132</v>
      </c>
      <c r="B133" s="200">
        <v>45752</v>
      </c>
      <c r="C133" s="212">
        <f>YEAR(Plant_BD[[#This Row],[Date]])+IF(MONTH(Plant_BD[[#This Row],[Date]])&gt;=4,1,0)</f>
        <v>2026</v>
      </c>
      <c r="D133" s="212">
        <f>YEAR(Plant_BD[[#This Row],[Date]])</f>
        <v>2025</v>
      </c>
      <c r="E133" s="77" t="s">
        <v>1070</v>
      </c>
      <c r="F133" s="77" t="s">
        <v>1070</v>
      </c>
      <c r="G133" s="213">
        <f>Plant_BD[[#This Row],[Date]]-DAY(Plant_BD[[#This Row],[Date]])+1</f>
        <v>45748</v>
      </c>
      <c r="H133" s="3">
        <f>DAY(EOMONTH(Plant_BD[[#This Row],[Month Year]],0))</f>
        <v>30</v>
      </c>
      <c r="I133" s="214">
        <f>_xlfn.XLOOKUP(Plant_BD[[#This Row],[Date]],'Raw Data'!$G:$G,'Raw Data'!$I:$I)</f>
        <v>0.25833333333333336</v>
      </c>
      <c r="J133" s="214">
        <f>_xlfn.XLOOKUP(Plant_BD[[#This Row],[Date]],'Raw Data'!$G:$G,'Raw Data'!$J:$J)</f>
        <v>0.76875000000000004</v>
      </c>
      <c r="K133" s="215">
        <f>IFERROR((Plant_BD[[#This Row],[Sunset Time (POA&lt;20 W/m2)]]-Plant_BD[[#This Row],[Sunrise Time (POA&gt;20 W/m2)]])*24,"")</f>
        <v>12.250000000000002</v>
      </c>
      <c r="L133" s="215"/>
      <c r="M133" s="215"/>
      <c r="N133" s="215"/>
      <c r="O133" s="215"/>
      <c r="P133" s="215"/>
      <c r="Q133" s="215"/>
      <c r="R133" s="215"/>
      <c r="S133" s="215"/>
      <c r="T133" s="216" t="s">
        <v>220</v>
      </c>
      <c r="U133" s="16">
        <f>IFERROR(_xlfn.XLOOKUP(Plant_BD[[#This Row],[Affected Equipment]],'Basic Data'!$A:$A,'Basic Data'!$B:$B),"")</f>
        <v>669.6</v>
      </c>
      <c r="V133" s="217">
        <f>IFERROR(_xlfn.XLOOKUP(Plant_BD[[#This Row],[Affected Equipment]],'Basic Data'!$A:$A,'Basic Data'!$C:$C),"")</f>
        <v>8.348190352703562E-2</v>
      </c>
      <c r="W133" s="218" t="s">
        <v>311</v>
      </c>
      <c r="X133" s="218" t="s">
        <v>1078</v>
      </c>
      <c r="Y133" s="218"/>
      <c r="Z133" s="219" t="s">
        <v>1078</v>
      </c>
      <c r="AA133" s="220">
        <v>0.60833333333333328</v>
      </c>
      <c r="AB133" s="220"/>
      <c r="AC133" s="220"/>
      <c r="AD133" s="220">
        <v>0.61458333333333337</v>
      </c>
      <c r="AE133" s="221">
        <f>IF(Plant_BD[[#This Row],[Acknowledgement Time ]]="NA","",(Plant_BD[[#This Row],[Acknowledgement Time ]]-Plant_BD[[#This Row],[Fault Time]])*24)</f>
        <v>-14.599999999999998</v>
      </c>
      <c r="AF133" s="221">
        <f>IF(Plant_BD[[#This Row],[Work Start time on Fault]]="NA","",(Plant_BD[[#This Row],[Work Start time on Fault]]-Plant_BD[[#This Row],[Fault Time]])*24)</f>
        <v>-14.599999999999998</v>
      </c>
      <c r="AG133" s="17">
        <f>(Plant_BD[[#This Row],[Work Completion time on fault]]-Plant_BD[[#This Row],[Fault Time]])*24</f>
        <v>0.15000000000000213</v>
      </c>
      <c r="AH133" s="17">
        <f>IFERROR((Plant_BD[[#This Row],[Work Completion time on fault]]-Plant_BD[[#This Row],[Fault Time]])*24,"")</f>
        <v>0.15000000000000213</v>
      </c>
      <c r="AI133" s="222" t="s">
        <v>1072</v>
      </c>
      <c r="AJ133" s="6" t="s">
        <v>1068</v>
      </c>
      <c r="AK133" s="223">
        <f>IFERROR(Plant_BD[[#This Row],[Breakdown Time]]*Plant_BD[[#This Row],[Plant Equivalent Weightage]],"")</f>
        <v>1.2522285529055521E-2</v>
      </c>
      <c r="AL133" s="6">
        <v>0.13</v>
      </c>
      <c r="AM133" s="221">
        <f>_xlfn.XLOOKUP($G133,'Modelling New'!$D:$D,'Modelling New'!$O:$O)*Plant_BD[[#This Row],[Lost PoA(kWh/m2)]]*Plant_BD[[#This Row],[DC Capacity Affected (kW)]]</f>
        <v>58.781315684584854</v>
      </c>
      <c r="AN133" s="6"/>
      <c r="AO133" s="6"/>
      <c r="AP133" s="224"/>
    </row>
    <row r="134" spans="1:42" x14ac:dyDescent="0.3">
      <c r="A134" s="171">
        <f t="shared" si="2"/>
        <v>133</v>
      </c>
      <c r="B134" s="200">
        <v>45752</v>
      </c>
      <c r="C134" s="212">
        <f>YEAR(Plant_BD[[#This Row],[Date]])+IF(MONTH(Plant_BD[[#This Row],[Date]])&gt;=4,1,0)</f>
        <v>2026</v>
      </c>
      <c r="D134" s="212">
        <f>YEAR(Plant_BD[[#This Row],[Date]])</f>
        <v>2025</v>
      </c>
      <c r="E134" s="77" t="s">
        <v>1070</v>
      </c>
      <c r="F134" s="77" t="s">
        <v>1070</v>
      </c>
      <c r="G134" s="213">
        <f>Plant_BD[[#This Row],[Date]]-DAY(Plant_BD[[#This Row],[Date]])+1</f>
        <v>45748</v>
      </c>
      <c r="H134" s="3">
        <f>DAY(EOMONTH(Plant_BD[[#This Row],[Month Year]],0))</f>
        <v>30</v>
      </c>
      <c r="I134" s="214">
        <f>_xlfn.XLOOKUP(Plant_BD[[#This Row],[Date]],'Raw Data'!$G:$G,'Raw Data'!$I:$I)</f>
        <v>0.25833333333333336</v>
      </c>
      <c r="J134" s="214">
        <f>_xlfn.XLOOKUP(Plant_BD[[#This Row],[Date]],'Raw Data'!$G:$G,'Raw Data'!$J:$J)</f>
        <v>0.76875000000000004</v>
      </c>
      <c r="K134" s="215">
        <f>IFERROR((Plant_BD[[#This Row],[Sunset Time (POA&lt;20 W/m2)]]-Plant_BD[[#This Row],[Sunrise Time (POA&gt;20 W/m2)]])*24,"")</f>
        <v>12.250000000000002</v>
      </c>
      <c r="L134" s="215"/>
      <c r="M134" s="215"/>
      <c r="N134" s="215"/>
      <c r="O134" s="215"/>
      <c r="P134" s="215"/>
      <c r="Q134" s="215"/>
      <c r="R134" s="215"/>
      <c r="S134" s="215"/>
      <c r="T134" s="216" t="s">
        <v>168</v>
      </c>
      <c r="U134" s="16">
        <f>IFERROR(_xlfn.XLOOKUP(Plant_BD[[#This Row],[Affected Equipment]],'Basic Data'!$A:$A,'Basic Data'!$B:$B),"")</f>
        <v>2694.6</v>
      </c>
      <c r="V134" s="217">
        <f>IFERROR(_xlfn.XLOOKUP(Plant_BD[[#This Row],[Affected Equipment]],'Basic Data'!$A:$A,'Basic Data'!$C:$C),"")</f>
        <v>0.33594733758057077</v>
      </c>
      <c r="W134" s="218" t="s">
        <v>311</v>
      </c>
      <c r="X134" s="218" t="s">
        <v>1077</v>
      </c>
      <c r="Y134" s="218"/>
      <c r="Z134" s="219" t="s">
        <v>1077</v>
      </c>
      <c r="AA134" s="220">
        <v>0.61458333333333337</v>
      </c>
      <c r="AB134" s="220"/>
      <c r="AC134" s="220"/>
      <c r="AD134" s="220">
        <v>0.62222222222222223</v>
      </c>
      <c r="AE134" s="221">
        <f>IF(Plant_BD[[#This Row],[Acknowledgement Time ]]="NA","",(Plant_BD[[#This Row],[Acknowledgement Time ]]-Plant_BD[[#This Row],[Fault Time]])*24)</f>
        <v>-14.75</v>
      </c>
      <c r="AF134" s="221">
        <f>IF(Plant_BD[[#This Row],[Work Start time on Fault]]="NA","",(Plant_BD[[#This Row],[Work Start time on Fault]]-Plant_BD[[#This Row],[Fault Time]])*24)</f>
        <v>-14.75</v>
      </c>
      <c r="AG134" s="17">
        <f>(Plant_BD[[#This Row],[Work Completion time on fault]]-Plant_BD[[#This Row],[Fault Time]])*24</f>
        <v>0.18333333333333268</v>
      </c>
      <c r="AH134" s="17">
        <f>IFERROR((Plant_BD[[#This Row],[Work Completion time on fault]]-Plant_BD[[#This Row],[Fault Time]])*24,"")</f>
        <v>0.18333333333333268</v>
      </c>
      <c r="AI134" s="222" t="s">
        <v>1074</v>
      </c>
      <c r="AJ134" s="6" t="s">
        <v>1069</v>
      </c>
      <c r="AK134" s="223">
        <f>IFERROR(Plant_BD[[#This Row],[Breakdown Time]]*Plant_BD[[#This Row],[Plant Equivalent Weightage]],"")</f>
        <v>6.1590345223104422E-2</v>
      </c>
      <c r="AL134" s="6">
        <v>0.16</v>
      </c>
      <c r="AM134" s="221">
        <f>_xlfn.XLOOKUP($G134,'Modelling New'!$D:$D,'Modelling New'!$O:$O)*Plant_BD[[#This Row],[Lost PoA(kWh/m2)]]*Plant_BD[[#This Row],[DC Capacity Affected (kW)]]</f>
        <v>291.13525088444504</v>
      </c>
      <c r="AN134" s="6"/>
      <c r="AO134" s="6"/>
      <c r="AP134" s="224"/>
    </row>
    <row r="135" spans="1:42" x14ac:dyDescent="0.3">
      <c r="A135" s="171">
        <f t="shared" si="2"/>
        <v>134</v>
      </c>
      <c r="B135" s="200">
        <v>45752</v>
      </c>
      <c r="C135" s="212">
        <f>YEAR(Plant_BD[[#This Row],[Date]])+IF(MONTH(Plant_BD[[#This Row],[Date]])&gt;=4,1,0)</f>
        <v>2026</v>
      </c>
      <c r="D135" s="212">
        <f>YEAR(Plant_BD[[#This Row],[Date]])</f>
        <v>2025</v>
      </c>
      <c r="E135" s="77" t="s">
        <v>1070</v>
      </c>
      <c r="F135" s="77" t="s">
        <v>1070</v>
      </c>
      <c r="G135" s="213">
        <f>Plant_BD[[#This Row],[Date]]-DAY(Plant_BD[[#This Row],[Date]])+1</f>
        <v>45748</v>
      </c>
      <c r="H135" s="3">
        <f>DAY(EOMONTH(Plant_BD[[#This Row],[Month Year]],0))</f>
        <v>30</v>
      </c>
      <c r="I135" s="214">
        <f>_xlfn.XLOOKUP(Plant_BD[[#This Row],[Date]],'Raw Data'!$G:$G,'Raw Data'!$I:$I)</f>
        <v>0.25833333333333336</v>
      </c>
      <c r="J135" s="214">
        <f>_xlfn.XLOOKUP(Plant_BD[[#This Row],[Date]],'Raw Data'!$G:$G,'Raw Data'!$J:$J)</f>
        <v>0.76875000000000004</v>
      </c>
      <c r="K135" s="215">
        <f>IFERROR((Plant_BD[[#This Row],[Sunset Time (POA&lt;20 W/m2)]]-Plant_BD[[#This Row],[Sunrise Time (POA&gt;20 W/m2)]])*24,"")</f>
        <v>12.250000000000002</v>
      </c>
      <c r="L135" s="215"/>
      <c r="M135" s="215"/>
      <c r="N135" s="215"/>
      <c r="O135" s="215"/>
      <c r="P135" s="215"/>
      <c r="Q135" s="215"/>
      <c r="R135" s="215"/>
      <c r="S135" s="215"/>
      <c r="T135" s="216" t="s">
        <v>219</v>
      </c>
      <c r="U135" s="16">
        <f>IFERROR(_xlfn.XLOOKUP(Plant_BD[[#This Row],[Affected Equipment]],'Basic Data'!$A:$A,'Basic Data'!$B:$B),"")</f>
        <v>669.6</v>
      </c>
      <c r="V135" s="217">
        <f>IFERROR(_xlfn.XLOOKUP(Plant_BD[[#This Row],[Affected Equipment]],'Basic Data'!$A:$A,'Basic Data'!$C:$C),"")</f>
        <v>8.348190352703562E-2</v>
      </c>
      <c r="W135" s="218" t="s">
        <v>311</v>
      </c>
      <c r="X135" s="218" t="s">
        <v>1076</v>
      </c>
      <c r="Y135" s="218"/>
      <c r="Z135" s="219" t="s">
        <v>1076</v>
      </c>
      <c r="AA135" s="220">
        <v>0.62222222222222223</v>
      </c>
      <c r="AB135" s="220"/>
      <c r="AC135" s="220"/>
      <c r="AD135" s="220">
        <v>0.62986111111111109</v>
      </c>
      <c r="AE135" s="221">
        <f>IF(Plant_BD[[#This Row],[Acknowledgement Time ]]="NA","",(Plant_BD[[#This Row],[Acknowledgement Time ]]-Plant_BD[[#This Row],[Fault Time]])*24)</f>
        <v>-14.933333333333334</v>
      </c>
      <c r="AF135" s="221">
        <f>IF(Plant_BD[[#This Row],[Work Start time on Fault]]="NA","",(Plant_BD[[#This Row],[Work Start time on Fault]]-Plant_BD[[#This Row],[Fault Time]])*24)</f>
        <v>-14.933333333333334</v>
      </c>
      <c r="AG135" s="17">
        <f>(Plant_BD[[#This Row],[Work Completion time on fault]]-Plant_BD[[#This Row],[Fault Time]])*24</f>
        <v>0.18333333333333268</v>
      </c>
      <c r="AH135" s="17">
        <f>IFERROR((Plant_BD[[#This Row],[Work Completion time on fault]]-Plant_BD[[#This Row],[Fault Time]])*24,"")</f>
        <v>0.18333333333333268</v>
      </c>
      <c r="AI135" s="222" t="s">
        <v>1072</v>
      </c>
      <c r="AJ135" s="6" t="s">
        <v>1068</v>
      </c>
      <c r="AK135" s="223">
        <f>IFERROR(Plant_BD[[#This Row],[Breakdown Time]]*Plant_BD[[#This Row],[Plant Equivalent Weightage]],"")</f>
        <v>1.5305015646623142E-2</v>
      </c>
      <c r="AL135" s="6">
        <v>0.15</v>
      </c>
      <c r="AM135" s="221">
        <f>_xlfn.XLOOKUP($G135,'Modelling New'!$D:$D,'Modelling New'!$O:$O)*Plant_BD[[#This Row],[Lost PoA(kWh/m2)]]*Plant_BD[[#This Row],[DC Capacity Affected (kW)]]</f>
        <v>67.82459502067482</v>
      </c>
      <c r="AN135" s="6"/>
      <c r="AO135" s="6"/>
      <c r="AP135" s="224"/>
    </row>
    <row r="136" spans="1:42" x14ac:dyDescent="0.3">
      <c r="A136" s="171">
        <f t="shared" si="2"/>
        <v>135</v>
      </c>
      <c r="B136" s="200">
        <v>45752</v>
      </c>
      <c r="C136" s="212">
        <f>YEAR(Plant_BD[[#This Row],[Date]])+IF(MONTH(Plant_BD[[#This Row],[Date]])&gt;=4,1,0)</f>
        <v>2026</v>
      </c>
      <c r="D136" s="212">
        <f>YEAR(Plant_BD[[#This Row],[Date]])</f>
        <v>2025</v>
      </c>
      <c r="E136" s="77" t="s">
        <v>1070</v>
      </c>
      <c r="F136" s="77" t="s">
        <v>1070</v>
      </c>
      <c r="G136" s="213">
        <f>Plant_BD[[#This Row],[Date]]-DAY(Plant_BD[[#This Row],[Date]])+1</f>
        <v>45748</v>
      </c>
      <c r="H136" s="3">
        <f>DAY(EOMONTH(Plant_BD[[#This Row],[Month Year]],0))</f>
        <v>30</v>
      </c>
      <c r="I136" s="214">
        <f>_xlfn.XLOOKUP(Plant_BD[[#This Row],[Date]],'Raw Data'!$G:$G,'Raw Data'!$I:$I)</f>
        <v>0.25833333333333336</v>
      </c>
      <c r="J136" s="214">
        <f>_xlfn.XLOOKUP(Plant_BD[[#This Row],[Date]],'Raw Data'!$G:$G,'Raw Data'!$J:$J)</f>
        <v>0.76875000000000004</v>
      </c>
      <c r="K136" s="215">
        <f>IFERROR((Plant_BD[[#This Row],[Sunset Time (POA&lt;20 W/m2)]]-Plant_BD[[#This Row],[Sunrise Time (POA&gt;20 W/m2)]])*24,"")</f>
        <v>12.250000000000002</v>
      </c>
      <c r="L136" s="215"/>
      <c r="M136" s="215"/>
      <c r="N136" s="215"/>
      <c r="O136" s="215"/>
      <c r="P136" s="215"/>
      <c r="Q136" s="215"/>
      <c r="R136" s="215"/>
      <c r="S136" s="215"/>
      <c r="T136" s="216" t="s">
        <v>220</v>
      </c>
      <c r="U136" s="16">
        <f>IFERROR(_xlfn.XLOOKUP(Plant_BD[[#This Row],[Affected Equipment]],'Basic Data'!$A:$A,'Basic Data'!$B:$B),"")</f>
        <v>669.6</v>
      </c>
      <c r="V136" s="217">
        <f>IFERROR(_xlfn.XLOOKUP(Plant_BD[[#This Row],[Affected Equipment]],'Basic Data'!$A:$A,'Basic Data'!$C:$C),"")</f>
        <v>8.348190352703562E-2</v>
      </c>
      <c r="W136" s="218" t="s">
        <v>311</v>
      </c>
      <c r="X136" s="218" t="s">
        <v>1078</v>
      </c>
      <c r="Y136" s="218"/>
      <c r="Z136" s="219" t="s">
        <v>1078</v>
      </c>
      <c r="AA136" s="220">
        <v>0.62222222222222223</v>
      </c>
      <c r="AB136" s="220"/>
      <c r="AC136" s="220"/>
      <c r="AD136" s="220">
        <v>0.62986111111111109</v>
      </c>
      <c r="AE136" s="221">
        <f>IF(Plant_BD[[#This Row],[Acknowledgement Time ]]="NA","",(Plant_BD[[#This Row],[Acknowledgement Time ]]-Plant_BD[[#This Row],[Fault Time]])*24)</f>
        <v>-14.933333333333334</v>
      </c>
      <c r="AF136" s="221">
        <f>IF(Plant_BD[[#This Row],[Work Start time on Fault]]="NA","",(Plant_BD[[#This Row],[Work Start time on Fault]]-Plant_BD[[#This Row],[Fault Time]])*24)</f>
        <v>-14.933333333333334</v>
      </c>
      <c r="AG136" s="17">
        <f>(Plant_BD[[#This Row],[Work Completion time on fault]]-Plant_BD[[#This Row],[Fault Time]])*24</f>
        <v>0.18333333333333268</v>
      </c>
      <c r="AH136" s="17">
        <f>IFERROR((Plant_BD[[#This Row],[Work Completion time on fault]]-Plant_BD[[#This Row],[Fault Time]])*24,"")</f>
        <v>0.18333333333333268</v>
      </c>
      <c r="AI136" s="222" t="s">
        <v>1072</v>
      </c>
      <c r="AJ136" s="6" t="s">
        <v>1068</v>
      </c>
      <c r="AK136" s="223">
        <f>IFERROR(Plant_BD[[#This Row],[Breakdown Time]]*Plant_BD[[#This Row],[Plant Equivalent Weightage]],"")</f>
        <v>1.5305015646623142E-2</v>
      </c>
      <c r="AL136" s="6">
        <v>0.15</v>
      </c>
      <c r="AM136" s="221">
        <f>_xlfn.XLOOKUP($G136,'Modelling New'!$D:$D,'Modelling New'!$O:$O)*Plant_BD[[#This Row],[Lost PoA(kWh/m2)]]*Plant_BD[[#This Row],[DC Capacity Affected (kW)]]</f>
        <v>67.82459502067482</v>
      </c>
      <c r="AN136" s="6"/>
      <c r="AO136" s="6"/>
      <c r="AP136" s="224"/>
    </row>
    <row r="137" spans="1:42" x14ac:dyDescent="0.3">
      <c r="A137" s="171">
        <f t="shared" si="2"/>
        <v>136</v>
      </c>
      <c r="B137" s="200">
        <v>45752</v>
      </c>
      <c r="C137" s="212">
        <f>YEAR(Plant_BD[[#This Row],[Date]])+IF(MONTH(Plant_BD[[#This Row],[Date]])&gt;=4,1,0)</f>
        <v>2026</v>
      </c>
      <c r="D137" s="212">
        <f>YEAR(Plant_BD[[#This Row],[Date]])</f>
        <v>2025</v>
      </c>
      <c r="E137" s="77" t="s">
        <v>1070</v>
      </c>
      <c r="F137" s="77" t="s">
        <v>1070</v>
      </c>
      <c r="G137" s="213">
        <f>Plant_BD[[#This Row],[Date]]-DAY(Plant_BD[[#This Row],[Date]])+1</f>
        <v>45748</v>
      </c>
      <c r="H137" s="3">
        <f>DAY(EOMONTH(Plant_BD[[#This Row],[Month Year]],0))</f>
        <v>30</v>
      </c>
      <c r="I137" s="214">
        <f>_xlfn.XLOOKUP(Plant_BD[[#This Row],[Date]],'Raw Data'!$G:$G,'Raw Data'!$I:$I)</f>
        <v>0.25833333333333336</v>
      </c>
      <c r="J137" s="214">
        <f>_xlfn.XLOOKUP(Plant_BD[[#This Row],[Date]],'Raw Data'!$G:$G,'Raw Data'!$J:$J)</f>
        <v>0.76875000000000004</v>
      </c>
      <c r="K137" s="215">
        <f>IFERROR((Plant_BD[[#This Row],[Sunset Time (POA&lt;20 W/m2)]]-Plant_BD[[#This Row],[Sunrise Time (POA&gt;20 W/m2)]])*24,"")</f>
        <v>12.250000000000002</v>
      </c>
      <c r="L137" s="215"/>
      <c r="M137" s="215"/>
      <c r="N137" s="215"/>
      <c r="O137" s="215"/>
      <c r="P137" s="215"/>
      <c r="Q137" s="215"/>
      <c r="R137" s="215"/>
      <c r="S137" s="215"/>
      <c r="T137" s="216" t="s">
        <v>168</v>
      </c>
      <c r="U137" s="16">
        <f>IFERROR(_xlfn.XLOOKUP(Plant_BD[[#This Row],[Affected Equipment]],'Basic Data'!$A:$A,'Basic Data'!$B:$B),"")</f>
        <v>2694.6</v>
      </c>
      <c r="V137" s="217">
        <f>IFERROR(_xlfn.XLOOKUP(Plant_BD[[#This Row],[Affected Equipment]],'Basic Data'!$A:$A,'Basic Data'!$C:$C),"")</f>
        <v>0.33594733758057077</v>
      </c>
      <c r="W137" s="218" t="s">
        <v>311</v>
      </c>
      <c r="X137" s="218" t="s">
        <v>1077</v>
      </c>
      <c r="Y137" s="218"/>
      <c r="Z137" s="219" t="s">
        <v>1077</v>
      </c>
      <c r="AA137" s="220">
        <v>0.62986111111111109</v>
      </c>
      <c r="AB137" s="220"/>
      <c r="AC137" s="220"/>
      <c r="AD137" s="220">
        <v>0.63541666666666663</v>
      </c>
      <c r="AE137" s="221">
        <f>IF(Plant_BD[[#This Row],[Acknowledgement Time ]]="NA","",(Plant_BD[[#This Row],[Acknowledgement Time ]]-Plant_BD[[#This Row],[Fault Time]])*24)</f>
        <v>-15.116666666666667</v>
      </c>
      <c r="AF137" s="221">
        <f>IF(Plant_BD[[#This Row],[Work Start time on Fault]]="NA","",(Plant_BD[[#This Row],[Work Start time on Fault]]-Plant_BD[[#This Row],[Fault Time]])*24)</f>
        <v>-15.116666666666667</v>
      </c>
      <c r="AG137" s="17">
        <f>(Plant_BD[[#This Row],[Work Completion time on fault]]-Plant_BD[[#This Row],[Fault Time]])*24</f>
        <v>0.13333333333333286</v>
      </c>
      <c r="AH137" s="17">
        <f>IFERROR((Plant_BD[[#This Row],[Work Completion time on fault]]-Plant_BD[[#This Row],[Fault Time]])*24,"")</f>
        <v>0.13333333333333286</v>
      </c>
      <c r="AI137" s="222" t="s">
        <v>1074</v>
      </c>
      <c r="AJ137" s="6" t="s">
        <v>1069</v>
      </c>
      <c r="AK137" s="223">
        <f>IFERROR(Plant_BD[[#This Row],[Breakdown Time]]*Plant_BD[[#This Row],[Plant Equivalent Weightage]],"")</f>
        <v>4.4792978344075945E-2</v>
      </c>
      <c r="AL137" s="6">
        <v>0.11</v>
      </c>
      <c r="AM137" s="221">
        <f>_xlfn.XLOOKUP($G137,'Modelling New'!$D:$D,'Modelling New'!$O:$O)*Plant_BD[[#This Row],[Lost PoA(kWh/m2)]]*Plant_BD[[#This Row],[DC Capacity Affected (kW)]]</f>
        <v>200.155484983056</v>
      </c>
      <c r="AN137" s="6"/>
      <c r="AO137" s="6"/>
      <c r="AP137" s="224"/>
    </row>
    <row r="138" spans="1:42" x14ac:dyDescent="0.3">
      <c r="A138" s="171">
        <f t="shared" si="2"/>
        <v>137</v>
      </c>
      <c r="B138" s="200">
        <v>45752</v>
      </c>
      <c r="C138" s="212">
        <f>YEAR(Plant_BD[[#This Row],[Date]])+IF(MONTH(Plant_BD[[#This Row],[Date]])&gt;=4,1,0)</f>
        <v>2026</v>
      </c>
      <c r="D138" s="212">
        <f>YEAR(Plant_BD[[#This Row],[Date]])</f>
        <v>2025</v>
      </c>
      <c r="E138" s="77" t="s">
        <v>1070</v>
      </c>
      <c r="F138" s="77" t="s">
        <v>1070</v>
      </c>
      <c r="G138" s="213">
        <f>Plant_BD[[#This Row],[Date]]-DAY(Plant_BD[[#This Row],[Date]])+1</f>
        <v>45748</v>
      </c>
      <c r="H138" s="3">
        <f>DAY(EOMONTH(Plant_BD[[#This Row],[Month Year]],0))</f>
        <v>30</v>
      </c>
      <c r="I138" s="214">
        <f>_xlfn.XLOOKUP(Plant_BD[[#This Row],[Date]],'Raw Data'!$G:$G,'Raw Data'!$I:$I)</f>
        <v>0.25833333333333336</v>
      </c>
      <c r="J138" s="214">
        <f>_xlfn.XLOOKUP(Plant_BD[[#This Row],[Date]],'Raw Data'!$G:$G,'Raw Data'!$J:$J)</f>
        <v>0.76875000000000004</v>
      </c>
      <c r="K138" s="215">
        <f>IFERROR((Plant_BD[[#This Row],[Sunset Time (POA&lt;20 W/m2)]]-Plant_BD[[#This Row],[Sunrise Time (POA&gt;20 W/m2)]])*24,"")</f>
        <v>12.250000000000002</v>
      </c>
      <c r="L138" s="215"/>
      <c r="M138" s="215"/>
      <c r="N138" s="215"/>
      <c r="O138" s="215"/>
      <c r="P138" s="215"/>
      <c r="Q138" s="215"/>
      <c r="R138" s="215"/>
      <c r="S138" s="215"/>
      <c r="T138" s="216" t="s">
        <v>219</v>
      </c>
      <c r="U138" s="16">
        <f>IFERROR(_xlfn.XLOOKUP(Plant_BD[[#This Row],[Affected Equipment]],'Basic Data'!$A:$A,'Basic Data'!$B:$B),"")</f>
        <v>669.6</v>
      </c>
      <c r="V138" s="217">
        <f>IFERROR(_xlfn.XLOOKUP(Plant_BD[[#This Row],[Affected Equipment]],'Basic Data'!$A:$A,'Basic Data'!$C:$C),"")</f>
        <v>8.348190352703562E-2</v>
      </c>
      <c r="W138" s="218" t="s">
        <v>311</v>
      </c>
      <c r="X138" s="218" t="s">
        <v>1076</v>
      </c>
      <c r="Y138" s="218"/>
      <c r="Z138" s="219" t="s">
        <v>1076</v>
      </c>
      <c r="AA138" s="220">
        <v>0.63541666666666663</v>
      </c>
      <c r="AB138" s="220"/>
      <c r="AC138" s="220"/>
      <c r="AD138" s="220">
        <v>0.64444444444444449</v>
      </c>
      <c r="AE138" s="221">
        <f>IF(Plant_BD[[#This Row],[Acknowledgement Time ]]="NA","",(Plant_BD[[#This Row],[Acknowledgement Time ]]-Plant_BD[[#This Row],[Fault Time]])*24)</f>
        <v>-15.25</v>
      </c>
      <c r="AF138" s="221">
        <f>IF(Plant_BD[[#This Row],[Work Start time on Fault]]="NA","",(Plant_BD[[#This Row],[Work Start time on Fault]]-Plant_BD[[#This Row],[Fault Time]])*24)</f>
        <v>-15.25</v>
      </c>
      <c r="AG138" s="17">
        <f>(Plant_BD[[#This Row],[Work Completion time on fault]]-Plant_BD[[#This Row],[Fault Time]])*24</f>
        <v>0.21666666666666856</v>
      </c>
      <c r="AH138" s="17">
        <f>IFERROR((Plant_BD[[#This Row],[Work Completion time on fault]]-Plant_BD[[#This Row],[Fault Time]])*24,"")</f>
        <v>0.21666666666666856</v>
      </c>
      <c r="AI138" s="222" t="s">
        <v>1072</v>
      </c>
      <c r="AJ138" s="6" t="s">
        <v>1068</v>
      </c>
      <c r="AK138" s="223">
        <f>IFERROR(Plant_BD[[#This Row],[Breakdown Time]]*Plant_BD[[#This Row],[Plant Equivalent Weightage]],"")</f>
        <v>1.8087745764191209E-2</v>
      </c>
      <c r="AL138" s="6">
        <v>0.16</v>
      </c>
      <c r="AM138" s="221">
        <f>_xlfn.XLOOKUP($G138,'Modelling New'!$D:$D,'Modelling New'!$O:$O)*Plant_BD[[#This Row],[Lost PoA(kWh/m2)]]*Plant_BD[[#This Row],[DC Capacity Affected (kW)]]</f>
        <v>72.346234688719818</v>
      </c>
      <c r="AN138" s="6"/>
      <c r="AO138" s="6"/>
      <c r="AP138" s="224"/>
    </row>
    <row r="139" spans="1:42" x14ac:dyDescent="0.3">
      <c r="A139" s="171">
        <f t="shared" si="2"/>
        <v>138</v>
      </c>
      <c r="B139" s="200">
        <v>45752</v>
      </c>
      <c r="C139" s="212">
        <f>YEAR(Plant_BD[[#This Row],[Date]])+IF(MONTH(Plant_BD[[#This Row],[Date]])&gt;=4,1,0)</f>
        <v>2026</v>
      </c>
      <c r="D139" s="212">
        <f>YEAR(Plant_BD[[#This Row],[Date]])</f>
        <v>2025</v>
      </c>
      <c r="E139" s="77" t="s">
        <v>1070</v>
      </c>
      <c r="F139" s="77" t="s">
        <v>1070</v>
      </c>
      <c r="G139" s="213">
        <f>Plant_BD[[#This Row],[Date]]-DAY(Plant_BD[[#This Row],[Date]])+1</f>
        <v>45748</v>
      </c>
      <c r="H139" s="3">
        <f>DAY(EOMONTH(Plant_BD[[#This Row],[Month Year]],0))</f>
        <v>30</v>
      </c>
      <c r="I139" s="214">
        <f>_xlfn.XLOOKUP(Plant_BD[[#This Row],[Date]],'Raw Data'!$G:$G,'Raw Data'!$I:$I)</f>
        <v>0.25833333333333336</v>
      </c>
      <c r="J139" s="214">
        <f>_xlfn.XLOOKUP(Plant_BD[[#This Row],[Date]],'Raw Data'!$G:$G,'Raw Data'!$J:$J)</f>
        <v>0.76875000000000004</v>
      </c>
      <c r="K139" s="215">
        <f>IFERROR((Plant_BD[[#This Row],[Sunset Time (POA&lt;20 W/m2)]]-Plant_BD[[#This Row],[Sunrise Time (POA&gt;20 W/m2)]])*24,"")</f>
        <v>12.250000000000002</v>
      </c>
      <c r="L139" s="215"/>
      <c r="M139" s="215"/>
      <c r="N139" s="215"/>
      <c r="O139" s="215"/>
      <c r="P139" s="215"/>
      <c r="Q139" s="215"/>
      <c r="R139" s="215"/>
      <c r="S139" s="215"/>
      <c r="T139" s="216" t="s">
        <v>220</v>
      </c>
      <c r="U139" s="16">
        <f>IFERROR(_xlfn.XLOOKUP(Plant_BD[[#This Row],[Affected Equipment]],'Basic Data'!$A:$A,'Basic Data'!$B:$B),"")</f>
        <v>669.6</v>
      </c>
      <c r="V139" s="217">
        <f>IFERROR(_xlfn.XLOOKUP(Plant_BD[[#This Row],[Affected Equipment]],'Basic Data'!$A:$A,'Basic Data'!$C:$C),"")</f>
        <v>8.348190352703562E-2</v>
      </c>
      <c r="W139" s="218" t="s">
        <v>311</v>
      </c>
      <c r="X139" s="218" t="s">
        <v>1078</v>
      </c>
      <c r="Y139" s="218"/>
      <c r="Z139" s="219" t="s">
        <v>1078</v>
      </c>
      <c r="AA139" s="220">
        <v>0.63541666666666663</v>
      </c>
      <c r="AB139" s="220"/>
      <c r="AC139" s="220"/>
      <c r="AD139" s="220">
        <v>0.64444444444444449</v>
      </c>
      <c r="AE139" s="221">
        <f>IF(Plant_BD[[#This Row],[Acknowledgement Time ]]="NA","",(Plant_BD[[#This Row],[Acknowledgement Time ]]-Plant_BD[[#This Row],[Fault Time]])*24)</f>
        <v>-15.25</v>
      </c>
      <c r="AF139" s="221">
        <f>IF(Plant_BD[[#This Row],[Work Start time on Fault]]="NA","",(Plant_BD[[#This Row],[Work Start time on Fault]]-Plant_BD[[#This Row],[Fault Time]])*24)</f>
        <v>-15.25</v>
      </c>
      <c r="AG139" s="17">
        <f>(Plant_BD[[#This Row],[Work Completion time on fault]]-Plant_BD[[#This Row],[Fault Time]])*24</f>
        <v>0.21666666666666856</v>
      </c>
      <c r="AH139" s="17">
        <f>IFERROR((Plant_BD[[#This Row],[Work Completion time on fault]]-Plant_BD[[#This Row],[Fault Time]])*24,"")</f>
        <v>0.21666666666666856</v>
      </c>
      <c r="AI139" s="222" t="s">
        <v>1072</v>
      </c>
      <c r="AJ139" s="6" t="s">
        <v>1068</v>
      </c>
      <c r="AK139" s="223">
        <f>IFERROR(Plant_BD[[#This Row],[Breakdown Time]]*Plant_BD[[#This Row],[Plant Equivalent Weightage]],"")</f>
        <v>1.8087745764191209E-2</v>
      </c>
      <c r="AL139" s="6">
        <v>0.16</v>
      </c>
      <c r="AM139" s="221">
        <f>_xlfn.XLOOKUP($G139,'Modelling New'!$D:$D,'Modelling New'!$O:$O)*Plant_BD[[#This Row],[Lost PoA(kWh/m2)]]*Plant_BD[[#This Row],[DC Capacity Affected (kW)]]</f>
        <v>72.346234688719818</v>
      </c>
      <c r="AN139" s="6"/>
      <c r="AO139" s="6"/>
      <c r="AP139" s="224"/>
    </row>
    <row r="140" spans="1:42" x14ac:dyDescent="0.3">
      <c r="A140" s="171">
        <f t="shared" si="2"/>
        <v>139</v>
      </c>
      <c r="B140" s="200">
        <v>45752</v>
      </c>
      <c r="C140" s="212">
        <f>YEAR(Plant_BD[[#This Row],[Date]])+IF(MONTH(Plant_BD[[#This Row],[Date]])&gt;=4,1,0)</f>
        <v>2026</v>
      </c>
      <c r="D140" s="212">
        <f>YEAR(Plant_BD[[#This Row],[Date]])</f>
        <v>2025</v>
      </c>
      <c r="E140" s="77" t="s">
        <v>1070</v>
      </c>
      <c r="F140" s="77" t="s">
        <v>1070</v>
      </c>
      <c r="G140" s="213">
        <f>Plant_BD[[#This Row],[Date]]-DAY(Plant_BD[[#This Row],[Date]])+1</f>
        <v>45748</v>
      </c>
      <c r="H140" s="3">
        <f>DAY(EOMONTH(Plant_BD[[#This Row],[Month Year]],0))</f>
        <v>30</v>
      </c>
      <c r="I140" s="214">
        <f>_xlfn.XLOOKUP(Plant_BD[[#This Row],[Date]],'Raw Data'!$G:$G,'Raw Data'!$I:$I)</f>
        <v>0.25833333333333336</v>
      </c>
      <c r="J140" s="214">
        <f>_xlfn.XLOOKUP(Plant_BD[[#This Row],[Date]],'Raw Data'!$G:$G,'Raw Data'!$J:$J)</f>
        <v>0.76875000000000004</v>
      </c>
      <c r="K140" s="215">
        <f>IFERROR((Plant_BD[[#This Row],[Sunset Time (POA&lt;20 W/m2)]]-Plant_BD[[#This Row],[Sunrise Time (POA&gt;20 W/m2)]])*24,"")</f>
        <v>12.250000000000002</v>
      </c>
      <c r="L140" s="215"/>
      <c r="M140" s="215"/>
      <c r="N140" s="215"/>
      <c r="O140" s="215"/>
      <c r="P140" s="215"/>
      <c r="Q140" s="215"/>
      <c r="R140" s="215"/>
      <c r="S140" s="215"/>
      <c r="T140" s="216" t="s">
        <v>168</v>
      </c>
      <c r="U140" s="16">
        <f>IFERROR(_xlfn.XLOOKUP(Plant_BD[[#This Row],[Affected Equipment]],'Basic Data'!$A:$A,'Basic Data'!$B:$B),"")</f>
        <v>2694.6</v>
      </c>
      <c r="V140" s="217">
        <f>IFERROR(_xlfn.XLOOKUP(Plant_BD[[#This Row],[Affected Equipment]],'Basic Data'!$A:$A,'Basic Data'!$C:$C),"")</f>
        <v>0.33594733758057077</v>
      </c>
      <c r="W140" s="218" t="s">
        <v>311</v>
      </c>
      <c r="X140" s="218" t="s">
        <v>1077</v>
      </c>
      <c r="Y140" s="218"/>
      <c r="Z140" s="219" t="s">
        <v>1077</v>
      </c>
      <c r="AA140" s="220">
        <v>0.64444444444444449</v>
      </c>
      <c r="AB140" s="220"/>
      <c r="AC140" s="220"/>
      <c r="AD140" s="220">
        <v>0.66041666666666665</v>
      </c>
      <c r="AE140" s="221">
        <f>IF(Plant_BD[[#This Row],[Acknowledgement Time ]]="NA","",(Plant_BD[[#This Row],[Acknowledgement Time ]]-Plant_BD[[#This Row],[Fault Time]])*24)</f>
        <v>-15.466666666666669</v>
      </c>
      <c r="AF140" s="221">
        <f>IF(Plant_BD[[#This Row],[Work Start time on Fault]]="NA","",(Plant_BD[[#This Row],[Work Start time on Fault]]-Plant_BD[[#This Row],[Fault Time]])*24)</f>
        <v>-15.466666666666669</v>
      </c>
      <c r="AG140" s="17">
        <f>(Plant_BD[[#This Row],[Work Completion time on fault]]-Plant_BD[[#This Row],[Fault Time]])*24</f>
        <v>0.38333333333333197</v>
      </c>
      <c r="AH140" s="17">
        <f>IFERROR((Plant_BD[[#This Row],[Work Completion time on fault]]-Plant_BD[[#This Row],[Fault Time]])*24,"")</f>
        <v>0.38333333333333197</v>
      </c>
      <c r="AI140" s="222" t="s">
        <v>1074</v>
      </c>
      <c r="AJ140" s="6" t="s">
        <v>1069</v>
      </c>
      <c r="AK140" s="223">
        <f>IFERROR(Plant_BD[[#This Row],[Breakdown Time]]*Plant_BD[[#This Row],[Plant Equivalent Weightage]],"")</f>
        <v>0.12877981273921835</v>
      </c>
      <c r="AL140" s="6">
        <v>0.24399999999999999</v>
      </c>
      <c r="AM140" s="221">
        <f>_xlfn.XLOOKUP($G140,'Modelling New'!$D:$D,'Modelling New'!$O:$O)*Plant_BD[[#This Row],[Lost PoA(kWh/m2)]]*Plant_BD[[#This Row],[DC Capacity Affected (kW)]]</f>
        <v>443.98125759877871</v>
      </c>
      <c r="AN140" s="6"/>
      <c r="AO140" s="6"/>
      <c r="AP140" s="224"/>
    </row>
    <row r="141" spans="1:42" x14ac:dyDescent="0.3">
      <c r="A141" s="171">
        <f t="shared" si="2"/>
        <v>140</v>
      </c>
      <c r="B141" s="200">
        <v>45752</v>
      </c>
      <c r="C141" s="212">
        <f>YEAR(Plant_BD[[#This Row],[Date]])+IF(MONTH(Plant_BD[[#This Row],[Date]])&gt;=4,1,0)</f>
        <v>2026</v>
      </c>
      <c r="D141" s="212">
        <f>YEAR(Plant_BD[[#This Row],[Date]])</f>
        <v>2025</v>
      </c>
      <c r="E141" s="77" t="s">
        <v>1070</v>
      </c>
      <c r="F141" s="77" t="s">
        <v>1070</v>
      </c>
      <c r="G141" s="213">
        <f>Plant_BD[[#This Row],[Date]]-DAY(Plant_BD[[#This Row],[Date]])+1</f>
        <v>45748</v>
      </c>
      <c r="H141" s="3">
        <f>DAY(EOMONTH(Plant_BD[[#This Row],[Month Year]],0))</f>
        <v>30</v>
      </c>
      <c r="I141" s="214">
        <f>_xlfn.XLOOKUP(Plant_BD[[#This Row],[Date]],'Raw Data'!$G:$G,'Raw Data'!$I:$I)</f>
        <v>0.25833333333333336</v>
      </c>
      <c r="J141" s="214">
        <f>_xlfn.XLOOKUP(Plant_BD[[#This Row],[Date]],'Raw Data'!$G:$G,'Raw Data'!$J:$J)</f>
        <v>0.76875000000000004</v>
      </c>
      <c r="K141" s="215">
        <f>IFERROR((Plant_BD[[#This Row],[Sunset Time (POA&lt;20 W/m2)]]-Plant_BD[[#This Row],[Sunrise Time (POA&gt;20 W/m2)]])*24,"")</f>
        <v>12.250000000000002</v>
      </c>
      <c r="L141" s="215"/>
      <c r="M141" s="215"/>
      <c r="N141" s="215"/>
      <c r="O141" s="215"/>
      <c r="P141" s="215"/>
      <c r="Q141" s="215"/>
      <c r="R141" s="215"/>
      <c r="S141" s="215"/>
      <c r="T141" s="216" t="s">
        <v>219</v>
      </c>
      <c r="U141" s="16">
        <f>IFERROR(_xlfn.XLOOKUP(Plant_BD[[#This Row],[Affected Equipment]],'Basic Data'!$A:$A,'Basic Data'!$B:$B),"")</f>
        <v>669.6</v>
      </c>
      <c r="V141" s="217">
        <f>IFERROR(_xlfn.XLOOKUP(Plant_BD[[#This Row],[Affected Equipment]],'Basic Data'!$A:$A,'Basic Data'!$C:$C),"")</f>
        <v>8.348190352703562E-2</v>
      </c>
      <c r="W141" s="218" t="s">
        <v>311</v>
      </c>
      <c r="X141" s="218" t="s">
        <v>1076</v>
      </c>
      <c r="Y141" s="218"/>
      <c r="Z141" s="219" t="s">
        <v>1076</v>
      </c>
      <c r="AA141" s="220">
        <v>0.66041666666666665</v>
      </c>
      <c r="AB141" s="220"/>
      <c r="AC141" s="220"/>
      <c r="AD141" s="220">
        <v>0.70277777777777772</v>
      </c>
      <c r="AE141" s="221">
        <f>IF(Plant_BD[[#This Row],[Acknowledgement Time ]]="NA","",(Plant_BD[[#This Row],[Acknowledgement Time ]]-Plant_BD[[#This Row],[Fault Time]])*24)</f>
        <v>-15.85</v>
      </c>
      <c r="AF141" s="221">
        <f>IF(Plant_BD[[#This Row],[Work Start time on Fault]]="NA","",(Plant_BD[[#This Row],[Work Start time on Fault]]-Plant_BD[[#This Row],[Fault Time]])*24)</f>
        <v>-15.85</v>
      </c>
      <c r="AG141" s="17">
        <f>(Plant_BD[[#This Row],[Work Completion time on fault]]-Plant_BD[[#This Row],[Fault Time]])*24</f>
        <v>1.0166666666666657</v>
      </c>
      <c r="AH141" s="17">
        <f>IFERROR((Plant_BD[[#This Row],[Work Completion time on fault]]-Plant_BD[[#This Row],[Fault Time]])*24,"")</f>
        <v>1.0166666666666657</v>
      </c>
      <c r="AI141" s="222" t="s">
        <v>1072</v>
      </c>
      <c r="AJ141" s="6" t="s">
        <v>1068</v>
      </c>
      <c r="AK141" s="223">
        <f>IFERROR(Plant_BD[[#This Row],[Breakdown Time]]*Plant_BD[[#This Row],[Plant Equivalent Weightage]],"")</f>
        <v>8.4873268585819464E-2</v>
      </c>
      <c r="AL141" s="6">
        <v>0.46</v>
      </c>
      <c r="AM141" s="221">
        <f>_xlfn.XLOOKUP($G141,'Modelling New'!$D:$D,'Modelling New'!$O:$O)*Plant_BD[[#This Row],[Lost PoA(kWh/m2)]]*Plant_BD[[#This Row],[DC Capacity Affected (kW)]]</f>
        <v>207.99542473006949</v>
      </c>
      <c r="AN141" s="6"/>
      <c r="AO141" s="6"/>
      <c r="AP141" s="224"/>
    </row>
    <row r="142" spans="1:42" x14ac:dyDescent="0.3">
      <c r="A142" s="171">
        <f t="shared" si="2"/>
        <v>141</v>
      </c>
      <c r="B142" s="200">
        <v>45752</v>
      </c>
      <c r="C142" s="212">
        <f>YEAR(Plant_BD[[#This Row],[Date]])+IF(MONTH(Plant_BD[[#This Row],[Date]])&gt;=4,1,0)</f>
        <v>2026</v>
      </c>
      <c r="D142" s="212">
        <f>YEAR(Plant_BD[[#This Row],[Date]])</f>
        <v>2025</v>
      </c>
      <c r="E142" s="77" t="s">
        <v>1070</v>
      </c>
      <c r="F142" s="77" t="s">
        <v>1070</v>
      </c>
      <c r="G142" s="213">
        <f>Plant_BD[[#This Row],[Date]]-DAY(Plant_BD[[#This Row],[Date]])+1</f>
        <v>45748</v>
      </c>
      <c r="H142" s="3">
        <f>DAY(EOMONTH(Plant_BD[[#This Row],[Month Year]],0))</f>
        <v>30</v>
      </c>
      <c r="I142" s="214">
        <f>_xlfn.XLOOKUP(Plant_BD[[#This Row],[Date]],'Raw Data'!$G:$G,'Raw Data'!$I:$I)</f>
        <v>0.25833333333333336</v>
      </c>
      <c r="J142" s="214">
        <f>_xlfn.XLOOKUP(Plant_BD[[#This Row],[Date]],'Raw Data'!$G:$G,'Raw Data'!$J:$J)</f>
        <v>0.76875000000000004</v>
      </c>
      <c r="K142" s="215">
        <f>IFERROR((Plant_BD[[#This Row],[Sunset Time (POA&lt;20 W/m2)]]-Plant_BD[[#This Row],[Sunrise Time (POA&gt;20 W/m2)]])*24,"")</f>
        <v>12.250000000000002</v>
      </c>
      <c r="L142" s="215"/>
      <c r="M142" s="215"/>
      <c r="N142" s="215"/>
      <c r="O142" s="215"/>
      <c r="P142" s="215"/>
      <c r="Q142" s="215"/>
      <c r="R142" s="215"/>
      <c r="S142" s="215"/>
      <c r="T142" s="216" t="s">
        <v>220</v>
      </c>
      <c r="U142" s="16">
        <f>IFERROR(_xlfn.XLOOKUP(Plant_BD[[#This Row],[Affected Equipment]],'Basic Data'!$A:$A,'Basic Data'!$B:$B),"")</f>
        <v>669.6</v>
      </c>
      <c r="V142" s="217">
        <f>IFERROR(_xlfn.XLOOKUP(Plant_BD[[#This Row],[Affected Equipment]],'Basic Data'!$A:$A,'Basic Data'!$C:$C),"")</f>
        <v>8.348190352703562E-2</v>
      </c>
      <c r="W142" s="218" t="s">
        <v>311</v>
      </c>
      <c r="X142" s="218" t="s">
        <v>1078</v>
      </c>
      <c r="Y142" s="218"/>
      <c r="Z142" s="219" t="s">
        <v>1078</v>
      </c>
      <c r="AA142" s="220">
        <v>0.66041666666666665</v>
      </c>
      <c r="AB142" s="220"/>
      <c r="AC142" s="220"/>
      <c r="AD142" s="220">
        <v>0.70277777777777772</v>
      </c>
      <c r="AE142" s="221">
        <f>IF(Plant_BD[[#This Row],[Acknowledgement Time ]]="NA","",(Plant_BD[[#This Row],[Acknowledgement Time ]]-Plant_BD[[#This Row],[Fault Time]])*24)</f>
        <v>-15.85</v>
      </c>
      <c r="AF142" s="221">
        <f>IF(Plant_BD[[#This Row],[Work Start time on Fault]]="NA","",(Plant_BD[[#This Row],[Work Start time on Fault]]-Plant_BD[[#This Row],[Fault Time]])*24)</f>
        <v>-15.85</v>
      </c>
      <c r="AG142" s="17">
        <f>(Plant_BD[[#This Row],[Work Completion time on fault]]-Plant_BD[[#This Row],[Fault Time]])*24</f>
        <v>1.0166666666666657</v>
      </c>
      <c r="AH142" s="17">
        <f>IFERROR((Plant_BD[[#This Row],[Work Completion time on fault]]-Plant_BD[[#This Row],[Fault Time]])*24,"")</f>
        <v>1.0166666666666657</v>
      </c>
      <c r="AI142" s="222" t="s">
        <v>1072</v>
      </c>
      <c r="AJ142" s="6" t="s">
        <v>1068</v>
      </c>
      <c r="AK142" s="223">
        <f>IFERROR(Plant_BD[[#This Row],[Breakdown Time]]*Plant_BD[[#This Row],[Plant Equivalent Weightage]],"")</f>
        <v>8.4873268585819464E-2</v>
      </c>
      <c r="AL142" s="6">
        <v>0.46</v>
      </c>
      <c r="AM142" s="221">
        <f>_xlfn.XLOOKUP($G142,'Modelling New'!$D:$D,'Modelling New'!$O:$O)*Plant_BD[[#This Row],[Lost PoA(kWh/m2)]]*Plant_BD[[#This Row],[DC Capacity Affected (kW)]]</f>
        <v>207.99542473006949</v>
      </c>
      <c r="AN142" s="6"/>
      <c r="AO142" s="6"/>
      <c r="AP142" s="224"/>
    </row>
    <row r="143" spans="1:42" x14ac:dyDescent="0.3">
      <c r="A143" s="171">
        <f t="shared" si="2"/>
        <v>142</v>
      </c>
      <c r="B143" s="200">
        <v>45752</v>
      </c>
      <c r="C143" s="212">
        <f>YEAR(Plant_BD[[#This Row],[Date]])+IF(MONTH(Plant_BD[[#This Row],[Date]])&gt;=4,1,0)</f>
        <v>2026</v>
      </c>
      <c r="D143" s="212">
        <f>YEAR(Plant_BD[[#This Row],[Date]])</f>
        <v>2025</v>
      </c>
      <c r="E143" s="77" t="s">
        <v>1070</v>
      </c>
      <c r="F143" s="77" t="s">
        <v>1070</v>
      </c>
      <c r="G143" s="213">
        <f>Plant_BD[[#This Row],[Date]]-DAY(Plant_BD[[#This Row],[Date]])+1</f>
        <v>45748</v>
      </c>
      <c r="H143" s="3">
        <f>DAY(EOMONTH(Plant_BD[[#This Row],[Month Year]],0))</f>
        <v>30</v>
      </c>
      <c r="I143" s="214">
        <f>_xlfn.XLOOKUP(Plant_BD[[#This Row],[Date]],'Raw Data'!$G:$G,'Raw Data'!$I:$I)</f>
        <v>0.25833333333333336</v>
      </c>
      <c r="J143" s="214">
        <f>_xlfn.XLOOKUP(Plant_BD[[#This Row],[Date]],'Raw Data'!$G:$G,'Raw Data'!$J:$J)</f>
        <v>0.76875000000000004</v>
      </c>
      <c r="K143" s="215">
        <f>IFERROR((Plant_BD[[#This Row],[Sunset Time (POA&lt;20 W/m2)]]-Plant_BD[[#This Row],[Sunrise Time (POA&gt;20 W/m2)]])*24,"")</f>
        <v>12.250000000000002</v>
      </c>
      <c r="L143" s="215"/>
      <c r="M143" s="215"/>
      <c r="N143" s="215"/>
      <c r="O143" s="215"/>
      <c r="P143" s="215"/>
      <c r="Q143" s="215"/>
      <c r="R143" s="215"/>
      <c r="S143" s="215"/>
      <c r="T143" s="216" t="s">
        <v>168</v>
      </c>
      <c r="U143" s="16">
        <f>IFERROR(_xlfn.XLOOKUP(Plant_BD[[#This Row],[Affected Equipment]],'Basic Data'!$A:$A,'Basic Data'!$B:$B),"")</f>
        <v>2694.6</v>
      </c>
      <c r="V143" s="217">
        <f>IFERROR(_xlfn.XLOOKUP(Plant_BD[[#This Row],[Affected Equipment]],'Basic Data'!$A:$A,'Basic Data'!$C:$C),"")</f>
        <v>0.33594733758057077</v>
      </c>
      <c r="W143" s="218" t="s">
        <v>311</v>
      </c>
      <c r="X143" s="218" t="s">
        <v>1079</v>
      </c>
      <c r="Y143" s="218"/>
      <c r="Z143" s="219" t="s">
        <v>1079</v>
      </c>
      <c r="AA143" s="220">
        <v>0.70277777777777772</v>
      </c>
      <c r="AB143" s="220"/>
      <c r="AC143" s="220"/>
      <c r="AD143" s="220">
        <v>0.70416666666666672</v>
      </c>
      <c r="AE143" s="221">
        <f>IF(Plant_BD[[#This Row],[Acknowledgement Time ]]="NA","",(Plant_BD[[#This Row],[Acknowledgement Time ]]-Plant_BD[[#This Row],[Fault Time]])*24)</f>
        <v>-16.866666666666667</v>
      </c>
      <c r="AF143" s="221">
        <f>IF(Plant_BD[[#This Row],[Work Start time on Fault]]="NA","",(Plant_BD[[#This Row],[Work Start time on Fault]]-Plant_BD[[#This Row],[Fault Time]])*24)</f>
        <v>-16.866666666666667</v>
      </c>
      <c r="AG143" s="17">
        <f>(Plant_BD[[#This Row],[Work Completion time on fault]]-Plant_BD[[#This Row],[Fault Time]])*24</f>
        <v>3.3333333333335879E-2</v>
      </c>
      <c r="AH143" s="17">
        <f>IFERROR((Plant_BD[[#This Row],[Work Completion time on fault]]-Plant_BD[[#This Row],[Fault Time]])*24,"")</f>
        <v>3.3333333333335879E-2</v>
      </c>
      <c r="AI143" s="222" t="s">
        <v>1074</v>
      </c>
      <c r="AJ143" s="6" t="s">
        <v>1069</v>
      </c>
      <c r="AK143" s="223">
        <f>IFERROR(Plant_BD[[#This Row],[Breakdown Time]]*Plant_BD[[#This Row],[Plant Equivalent Weightage]],"")</f>
        <v>1.1198244586019881E-2</v>
      </c>
      <c r="AL143" s="6">
        <v>0.01</v>
      </c>
      <c r="AM143" s="221">
        <f>_xlfn.XLOOKUP($G143,'Modelling New'!$D:$D,'Modelling New'!$O:$O)*Plant_BD[[#This Row],[Lost PoA(kWh/m2)]]*Plant_BD[[#This Row],[DC Capacity Affected (kW)]]</f>
        <v>18.195953180277815</v>
      </c>
      <c r="AN143" s="6"/>
      <c r="AO143" s="6"/>
      <c r="AP143" s="224"/>
    </row>
    <row r="144" spans="1:42" x14ac:dyDescent="0.3">
      <c r="A144" s="171">
        <f t="shared" si="2"/>
        <v>143</v>
      </c>
      <c r="B144" s="200">
        <v>45752</v>
      </c>
      <c r="C144" s="212">
        <f>YEAR(Plant_BD[[#This Row],[Date]])+IF(MONTH(Plant_BD[[#This Row],[Date]])&gt;=4,1,0)</f>
        <v>2026</v>
      </c>
      <c r="D144" s="212">
        <f>YEAR(Plant_BD[[#This Row],[Date]])</f>
        <v>2025</v>
      </c>
      <c r="E144" s="77" t="s">
        <v>1070</v>
      </c>
      <c r="F144" s="77" t="s">
        <v>1070</v>
      </c>
      <c r="G144" s="213">
        <f>Plant_BD[[#This Row],[Date]]-DAY(Plant_BD[[#This Row],[Date]])+1</f>
        <v>45748</v>
      </c>
      <c r="H144" s="3">
        <f>DAY(EOMONTH(Plant_BD[[#This Row],[Month Year]],0))</f>
        <v>30</v>
      </c>
      <c r="I144" s="214">
        <f>_xlfn.XLOOKUP(Plant_BD[[#This Row],[Date]],'Raw Data'!$G:$G,'Raw Data'!$I:$I)</f>
        <v>0.25833333333333336</v>
      </c>
      <c r="J144" s="214">
        <f>_xlfn.XLOOKUP(Plant_BD[[#This Row],[Date]],'Raw Data'!$G:$G,'Raw Data'!$J:$J)</f>
        <v>0.76875000000000004</v>
      </c>
      <c r="K144" s="215">
        <f>IFERROR((Plant_BD[[#This Row],[Sunset Time (POA&lt;20 W/m2)]]-Plant_BD[[#This Row],[Sunrise Time (POA&gt;20 W/m2)]])*24,"")</f>
        <v>12.250000000000002</v>
      </c>
      <c r="L144" s="215"/>
      <c r="M144" s="215"/>
      <c r="N144" s="215"/>
      <c r="O144" s="215"/>
      <c r="P144" s="215"/>
      <c r="Q144" s="215"/>
      <c r="R144" s="215"/>
      <c r="S144" s="215"/>
      <c r="T144" s="216" t="s">
        <v>219</v>
      </c>
      <c r="U144" s="16">
        <f>IFERROR(_xlfn.XLOOKUP(Plant_BD[[#This Row],[Affected Equipment]],'Basic Data'!$A:$A,'Basic Data'!$B:$B),"")</f>
        <v>669.6</v>
      </c>
      <c r="V144" s="217">
        <f>IFERROR(_xlfn.XLOOKUP(Plant_BD[[#This Row],[Affected Equipment]],'Basic Data'!$A:$A,'Basic Data'!$C:$C),"")</f>
        <v>8.348190352703562E-2</v>
      </c>
      <c r="W144" s="218" t="s">
        <v>311</v>
      </c>
      <c r="X144" s="218" t="s">
        <v>1076</v>
      </c>
      <c r="Y144" s="218"/>
      <c r="Z144" s="219" t="s">
        <v>1076</v>
      </c>
      <c r="AA144" s="220">
        <v>0.70416666666666672</v>
      </c>
      <c r="AB144" s="220"/>
      <c r="AC144" s="220"/>
      <c r="AD144" s="220">
        <v>0.72916666666666663</v>
      </c>
      <c r="AE144" s="221">
        <f>IF(Plant_BD[[#This Row],[Acknowledgement Time ]]="NA","",(Plant_BD[[#This Row],[Acknowledgement Time ]]-Plant_BD[[#This Row],[Fault Time]])*24)</f>
        <v>-16.900000000000002</v>
      </c>
      <c r="AF144" s="221">
        <f>IF(Plant_BD[[#This Row],[Work Start time on Fault]]="NA","",(Plant_BD[[#This Row],[Work Start time on Fault]]-Plant_BD[[#This Row],[Fault Time]])*24)</f>
        <v>-16.900000000000002</v>
      </c>
      <c r="AG144" s="17">
        <f>(Plant_BD[[#This Row],[Work Completion time on fault]]-Plant_BD[[#This Row],[Fault Time]])*24</f>
        <v>0.59999999999999787</v>
      </c>
      <c r="AH144" s="17">
        <f>IFERROR((Plant_BD[[#This Row],[Work Completion time on fault]]-Plant_BD[[#This Row],[Fault Time]])*24,"")</f>
        <v>0.59999999999999787</v>
      </c>
      <c r="AI144" s="222" t="s">
        <v>1072</v>
      </c>
      <c r="AJ144" s="6" t="s">
        <v>1068</v>
      </c>
      <c r="AK144" s="223">
        <f>IFERROR(Plant_BD[[#This Row],[Breakdown Time]]*Plant_BD[[#This Row],[Plant Equivalent Weightage]],"")</f>
        <v>5.0089142116221196E-2</v>
      </c>
      <c r="AL144" s="6">
        <v>0.14000000000000001</v>
      </c>
      <c r="AM144" s="221">
        <f>_xlfn.XLOOKUP($G144,'Modelling New'!$D:$D,'Modelling New'!$O:$O)*Plant_BD[[#This Row],[Lost PoA(kWh/m2)]]*Plant_BD[[#This Row],[DC Capacity Affected (kW)]]</f>
        <v>63.302955352629844</v>
      </c>
      <c r="AN144" s="6"/>
      <c r="AO144" s="6"/>
      <c r="AP144" s="224"/>
    </row>
    <row r="145" spans="1:42" x14ac:dyDescent="0.3">
      <c r="A145" s="171">
        <f t="shared" si="2"/>
        <v>144</v>
      </c>
      <c r="B145" s="200">
        <v>45752</v>
      </c>
      <c r="C145" s="212">
        <f>YEAR(Plant_BD[[#This Row],[Date]])+IF(MONTH(Plant_BD[[#This Row],[Date]])&gt;=4,1,0)</f>
        <v>2026</v>
      </c>
      <c r="D145" s="212">
        <f>YEAR(Plant_BD[[#This Row],[Date]])</f>
        <v>2025</v>
      </c>
      <c r="E145" s="77" t="s">
        <v>1070</v>
      </c>
      <c r="F145" s="77" t="s">
        <v>1070</v>
      </c>
      <c r="G145" s="213">
        <f>Plant_BD[[#This Row],[Date]]-DAY(Plant_BD[[#This Row],[Date]])+1</f>
        <v>45748</v>
      </c>
      <c r="H145" s="3">
        <f>DAY(EOMONTH(Plant_BD[[#This Row],[Month Year]],0))</f>
        <v>30</v>
      </c>
      <c r="I145" s="214">
        <f>_xlfn.XLOOKUP(Plant_BD[[#This Row],[Date]],'Raw Data'!$G:$G,'Raw Data'!$I:$I)</f>
        <v>0.25833333333333336</v>
      </c>
      <c r="J145" s="214">
        <f>_xlfn.XLOOKUP(Plant_BD[[#This Row],[Date]],'Raw Data'!$G:$G,'Raw Data'!$J:$J)</f>
        <v>0.76875000000000004</v>
      </c>
      <c r="K145" s="215">
        <f>IFERROR((Plant_BD[[#This Row],[Sunset Time (POA&lt;20 W/m2)]]-Plant_BD[[#This Row],[Sunrise Time (POA&gt;20 W/m2)]])*24,"")</f>
        <v>12.250000000000002</v>
      </c>
      <c r="L145" s="215"/>
      <c r="M145" s="215"/>
      <c r="N145" s="215"/>
      <c r="O145" s="215"/>
      <c r="P145" s="215"/>
      <c r="Q145" s="215"/>
      <c r="R145" s="215"/>
      <c r="S145" s="215"/>
      <c r="T145" s="216" t="s">
        <v>168</v>
      </c>
      <c r="U145" s="16">
        <f>IFERROR(_xlfn.XLOOKUP(Plant_BD[[#This Row],[Affected Equipment]],'Basic Data'!$A:$A,'Basic Data'!$B:$B),"")</f>
        <v>2694.6</v>
      </c>
      <c r="V145" s="217">
        <f>IFERROR(_xlfn.XLOOKUP(Plant_BD[[#This Row],[Affected Equipment]],'Basic Data'!$A:$A,'Basic Data'!$C:$C),"")</f>
        <v>0.33594733758057077</v>
      </c>
      <c r="W145" s="218" t="s">
        <v>311</v>
      </c>
      <c r="X145" s="218" t="s">
        <v>1174</v>
      </c>
      <c r="Y145" s="218"/>
      <c r="Z145" s="219" t="s">
        <v>1174</v>
      </c>
      <c r="AA145" s="220">
        <v>0.72916666666666663</v>
      </c>
      <c r="AB145" s="220"/>
      <c r="AC145" s="220"/>
      <c r="AD145" s="220">
        <v>0.76875000000000004</v>
      </c>
      <c r="AE145" s="221">
        <f>IF(Plant_BD[[#This Row],[Acknowledgement Time ]]="NA","",(Plant_BD[[#This Row],[Acknowledgement Time ]]-Plant_BD[[#This Row],[Fault Time]])*24)</f>
        <v>-17.5</v>
      </c>
      <c r="AF145" s="221">
        <f>IF(Plant_BD[[#This Row],[Work Start time on Fault]]="NA","",(Plant_BD[[#This Row],[Work Start time on Fault]]-Plant_BD[[#This Row],[Fault Time]])*24)</f>
        <v>-17.5</v>
      </c>
      <c r="AG145" s="17">
        <f>(Plant_BD[[#This Row],[Work Completion time on fault]]-Plant_BD[[#This Row],[Fault Time]])*24</f>
        <v>0.95000000000000195</v>
      </c>
      <c r="AH145" s="17">
        <f>IFERROR((Plant_BD[[#This Row],[Work Completion time on fault]]-Plant_BD[[#This Row],[Fault Time]])*24,"")</f>
        <v>0.95000000000000195</v>
      </c>
      <c r="AI145" s="222" t="s">
        <v>1074</v>
      </c>
      <c r="AJ145" s="6" t="s">
        <v>1069</v>
      </c>
      <c r="AK145" s="223">
        <f>IFERROR(Plant_BD[[#This Row],[Breakdown Time]]*Plant_BD[[#This Row],[Plant Equivalent Weightage]],"")</f>
        <v>0.31914997070154288</v>
      </c>
      <c r="AL145" s="6">
        <v>0.05</v>
      </c>
      <c r="AM145" s="221">
        <f>_xlfn.XLOOKUP($G145,'Modelling New'!$D:$D,'Modelling New'!$O:$O)*Plant_BD[[#This Row],[Lost PoA(kWh/m2)]]*Plant_BD[[#This Row],[DC Capacity Affected (kW)]]</f>
        <v>90.979765901389086</v>
      </c>
      <c r="AN145" s="6"/>
      <c r="AO145" s="6"/>
      <c r="AP145" s="224"/>
    </row>
    <row r="146" spans="1:42" x14ac:dyDescent="0.3">
      <c r="A146" s="171">
        <f t="shared" si="2"/>
        <v>145</v>
      </c>
      <c r="B146" s="200">
        <v>45753</v>
      </c>
      <c r="C146" s="212">
        <f>YEAR(Plant_BD[[#This Row],[Date]])+IF(MONTH(Plant_BD[[#This Row],[Date]])&gt;=4,1,0)</f>
        <v>2026</v>
      </c>
      <c r="D146" s="212">
        <f>YEAR(Plant_BD[[#This Row],[Date]])</f>
        <v>2025</v>
      </c>
      <c r="E146" s="77" t="s">
        <v>1070</v>
      </c>
      <c r="F146" s="77" t="s">
        <v>1070</v>
      </c>
      <c r="G146" s="213">
        <f>Plant_BD[[#This Row],[Date]]-DAY(Plant_BD[[#This Row],[Date]])+1</f>
        <v>45748</v>
      </c>
      <c r="H146" s="3">
        <f>DAY(EOMONTH(Plant_BD[[#This Row],[Month Year]],0))</f>
        <v>30</v>
      </c>
      <c r="I146" s="214">
        <f>_xlfn.XLOOKUP(Plant_BD[[#This Row],[Date]],'Raw Data'!$G:$G,'Raw Data'!$I:$I)</f>
        <v>0.26111111111111113</v>
      </c>
      <c r="J146" s="214">
        <f>_xlfn.XLOOKUP(Plant_BD[[#This Row],[Date]],'Raw Data'!$G:$G,'Raw Data'!$J:$J)</f>
        <v>0.76944444444444449</v>
      </c>
      <c r="K146" s="215">
        <f>IFERROR((Plant_BD[[#This Row],[Sunset Time (POA&lt;20 W/m2)]]-Plant_BD[[#This Row],[Sunrise Time (POA&gt;20 W/m2)]])*24,"")</f>
        <v>12.2</v>
      </c>
      <c r="L146" s="215"/>
      <c r="M146" s="215"/>
      <c r="N146" s="215"/>
      <c r="O146" s="215"/>
      <c r="P146" s="215"/>
      <c r="Q146" s="215"/>
      <c r="R146" s="215"/>
      <c r="S146" s="215"/>
      <c r="T146" s="216" t="s">
        <v>219</v>
      </c>
      <c r="U146" s="16">
        <f>IFERROR(_xlfn.XLOOKUP(Plant_BD[[#This Row],[Affected Equipment]],'Basic Data'!$A:$A,'Basic Data'!$B:$B),"")</f>
        <v>669.6</v>
      </c>
      <c r="V146" s="217">
        <f>IFERROR(_xlfn.XLOOKUP(Plant_BD[[#This Row],[Affected Equipment]],'Basic Data'!$A:$A,'Basic Data'!$C:$C),"")</f>
        <v>8.348190352703562E-2</v>
      </c>
      <c r="W146" s="218" t="s">
        <v>311</v>
      </c>
      <c r="X146" s="218" t="s">
        <v>1076</v>
      </c>
      <c r="Y146" s="218"/>
      <c r="Z146" s="219" t="s">
        <v>1076</v>
      </c>
      <c r="AA146" s="220">
        <v>0.26111111111111113</v>
      </c>
      <c r="AB146" s="220"/>
      <c r="AC146" s="220"/>
      <c r="AD146" s="220">
        <v>0.4236111111111111</v>
      </c>
      <c r="AE146" s="221">
        <f>IF(Plant_BD[[#This Row],[Acknowledgement Time ]]="NA","",(Plant_BD[[#This Row],[Acknowledgement Time ]]-Plant_BD[[#This Row],[Fault Time]])*24)</f>
        <v>-6.2666666666666675</v>
      </c>
      <c r="AF146" s="221">
        <f>IF(Plant_BD[[#This Row],[Work Start time on Fault]]="NA","",(Plant_BD[[#This Row],[Work Start time on Fault]]-Plant_BD[[#This Row],[Fault Time]])*24)</f>
        <v>-6.2666666666666675</v>
      </c>
      <c r="AG146" s="17">
        <f>(Plant_BD[[#This Row],[Work Completion time on fault]]-Plant_BD[[#This Row],[Fault Time]])*24</f>
        <v>3.8999999999999995</v>
      </c>
      <c r="AH146" s="17">
        <f>IFERROR((Plant_BD[[#This Row],[Work Completion time on fault]]-Plant_BD[[#This Row],[Fault Time]])*24,"")</f>
        <v>3.8999999999999995</v>
      </c>
      <c r="AI146" s="222" t="s">
        <v>1072</v>
      </c>
      <c r="AJ146" s="6" t="s">
        <v>1068</v>
      </c>
      <c r="AK146" s="223">
        <f>IFERROR(Plant_BD[[#This Row],[Breakdown Time]]*Plant_BD[[#This Row],[Plant Equivalent Weightage]],"")</f>
        <v>0.32557942375543886</v>
      </c>
      <c r="AL146" s="6">
        <v>1.34</v>
      </c>
      <c r="AM146" s="221">
        <f>_xlfn.XLOOKUP($G146,'Modelling New'!$D:$D,'Modelling New'!$O:$O)*Plant_BD[[#This Row],[Lost PoA(kWh/m2)]]*Plant_BD[[#This Row],[DC Capacity Affected (kW)]]</f>
        <v>605.89971551802853</v>
      </c>
      <c r="AN146" s="6"/>
      <c r="AO146" s="6"/>
      <c r="AP146" s="224"/>
    </row>
    <row r="147" spans="1:42" x14ac:dyDescent="0.3">
      <c r="A147" s="171">
        <f t="shared" si="2"/>
        <v>146</v>
      </c>
      <c r="B147" s="200">
        <v>45753</v>
      </c>
      <c r="C147" s="212">
        <f>YEAR(Plant_BD[[#This Row],[Date]])+IF(MONTH(Plant_BD[[#This Row],[Date]])&gt;=4,1,0)</f>
        <v>2026</v>
      </c>
      <c r="D147" s="212">
        <f>YEAR(Plant_BD[[#This Row],[Date]])</f>
        <v>2025</v>
      </c>
      <c r="E147" s="77" t="s">
        <v>1070</v>
      </c>
      <c r="F147" s="77" t="s">
        <v>1070</v>
      </c>
      <c r="G147" s="213">
        <f>Plant_BD[[#This Row],[Date]]-DAY(Plant_BD[[#This Row],[Date]])+1</f>
        <v>45748</v>
      </c>
      <c r="H147" s="3">
        <f>DAY(EOMONTH(Plant_BD[[#This Row],[Month Year]],0))</f>
        <v>30</v>
      </c>
      <c r="I147" s="214">
        <f>_xlfn.XLOOKUP(Plant_BD[[#This Row],[Date]],'Raw Data'!$G:$G,'Raw Data'!$I:$I)</f>
        <v>0.26111111111111113</v>
      </c>
      <c r="J147" s="214">
        <f>_xlfn.XLOOKUP(Plant_BD[[#This Row],[Date]],'Raw Data'!$G:$G,'Raw Data'!$J:$J)</f>
        <v>0.76944444444444449</v>
      </c>
      <c r="K147" s="215">
        <f>IFERROR((Plant_BD[[#This Row],[Sunset Time (POA&lt;20 W/m2)]]-Plant_BD[[#This Row],[Sunrise Time (POA&gt;20 W/m2)]])*24,"")</f>
        <v>12.2</v>
      </c>
      <c r="L147" s="215"/>
      <c r="M147" s="215"/>
      <c r="N147" s="215"/>
      <c r="O147" s="215"/>
      <c r="P147" s="215"/>
      <c r="Q147" s="215"/>
      <c r="R147" s="215"/>
      <c r="S147" s="215"/>
      <c r="T147" s="216" t="s">
        <v>168</v>
      </c>
      <c r="U147" s="16">
        <f>IFERROR(_xlfn.XLOOKUP(Plant_BD[[#This Row],[Affected Equipment]],'Basic Data'!$A:$A,'Basic Data'!$B:$B),"")</f>
        <v>2694.6</v>
      </c>
      <c r="V147" s="217">
        <f>IFERROR(_xlfn.XLOOKUP(Plant_BD[[#This Row],[Affected Equipment]],'Basic Data'!$A:$A,'Basic Data'!$C:$C),"")</f>
        <v>0.33594733758057077</v>
      </c>
      <c r="W147" s="218" t="s">
        <v>311</v>
      </c>
      <c r="X147" s="218" t="s">
        <v>1077</v>
      </c>
      <c r="Y147" s="218"/>
      <c r="Z147" s="219" t="s">
        <v>1077</v>
      </c>
      <c r="AA147" s="220">
        <v>0.4236111111111111</v>
      </c>
      <c r="AB147" s="220"/>
      <c r="AC147" s="220"/>
      <c r="AD147" s="220">
        <v>0.42916666666666664</v>
      </c>
      <c r="AE147" s="221">
        <f>IF(Plant_BD[[#This Row],[Acknowledgement Time ]]="NA","",(Plant_BD[[#This Row],[Acknowledgement Time ]]-Plant_BD[[#This Row],[Fault Time]])*24)</f>
        <v>-10.166666666666666</v>
      </c>
      <c r="AF147" s="221">
        <f>IF(Plant_BD[[#This Row],[Work Start time on Fault]]="NA","",(Plant_BD[[#This Row],[Work Start time on Fault]]-Plant_BD[[#This Row],[Fault Time]])*24)</f>
        <v>-10.166666666666666</v>
      </c>
      <c r="AG147" s="17">
        <f>(Plant_BD[[#This Row],[Work Completion time on fault]]-Plant_BD[[#This Row],[Fault Time]])*24</f>
        <v>0.13333333333333286</v>
      </c>
      <c r="AH147" s="17">
        <f>IFERROR((Plant_BD[[#This Row],[Work Completion time on fault]]-Plant_BD[[#This Row],[Fault Time]])*24,"")</f>
        <v>0.13333333333333286</v>
      </c>
      <c r="AI147" s="222" t="s">
        <v>1074</v>
      </c>
      <c r="AJ147" s="6" t="s">
        <v>1069</v>
      </c>
      <c r="AK147" s="223">
        <f>IFERROR(Plant_BD[[#This Row],[Breakdown Time]]*Plant_BD[[#This Row],[Plant Equivalent Weightage]],"")</f>
        <v>4.4792978344075945E-2</v>
      </c>
      <c r="AL147" s="6">
        <v>0.11</v>
      </c>
      <c r="AM147" s="221">
        <f>_xlfn.XLOOKUP($G147,'Modelling New'!$D:$D,'Modelling New'!$O:$O)*Plant_BD[[#This Row],[Lost PoA(kWh/m2)]]*Plant_BD[[#This Row],[DC Capacity Affected (kW)]]</f>
        <v>200.155484983056</v>
      </c>
      <c r="AN147" s="6"/>
      <c r="AO147" s="6"/>
      <c r="AP147" s="224"/>
    </row>
    <row r="148" spans="1:42" x14ac:dyDescent="0.3">
      <c r="A148" s="171">
        <f t="shared" si="2"/>
        <v>147</v>
      </c>
      <c r="B148" s="200">
        <v>45753</v>
      </c>
      <c r="C148" s="212">
        <f>YEAR(Plant_BD[[#This Row],[Date]])+IF(MONTH(Plant_BD[[#This Row],[Date]])&gt;=4,1,0)</f>
        <v>2026</v>
      </c>
      <c r="D148" s="212">
        <f>YEAR(Plant_BD[[#This Row],[Date]])</f>
        <v>2025</v>
      </c>
      <c r="E148" s="77" t="s">
        <v>1070</v>
      </c>
      <c r="F148" s="77" t="s">
        <v>1070</v>
      </c>
      <c r="G148" s="213">
        <f>Plant_BD[[#This Row],[Date]]-DAY(Plant_BD[[#This Row],[Date]])+1</f>
        <v>45748</v>
      </c>
      <c r="H148" s="3">
        <f>DAY(EOMONTH(Plant_BD[[#This Row],[Month Year]],0))</f>
        <v>30</v>
      </c>
      <c r="I148" s="214">
        <f>_xlfn.XLOOKUP(Plant_BD[[#This Row],[Date]],'Raw Data'!$G:$G,'Raw Data'!$I:$I)</f>
        <v>0.26111111111111113</v>
      </c>
      <c r="J148" s="214">
        <f>_xlfn.XLOOKUP(Plant_BD[[#This Row],[Date]],'Raw Data'!$G:$G,'Raw Data'!$J:$J)</f>
        <v>0.76944444444444449</v>
      </c>
      <c r="K148" s="215">
        <f>IFERROR((Plant_BD[[#This Row],[Sunset Time (POA&lt;20 W/m2)]]-Plant_BD[[#This Row],[Sunrise Time (POA&gt;20 W/m2)]])*24,"")</f>
        <v>12.2</v>
      </c>
      <c r="L148" s="215"/>
      <c r="M148" s="215"/>
      <c r="N148" s="215"/>
      <c r="O148" s="215"/>
      <c r="P148" s="215"/>
      <c r="Q148" s="215"/>
      <c r="R148" s="215"/>
      <c r="S148" s="215"/>
      <c r="T148" s="216" t="s">
        <v>226</v>
      </c>
      <c r="U148" s="16">
        <f>IFERROR(_xlfn.XLOOKUP(Plant_BD[[#This Row],[Affected Equipment]],'Basic Data'!$A:$A,'Basic Data'!$B:$B),"")</f>
        <v>658.8</v>
      </c>
      <c r="V148" s="217">
        <f>IFERROR(_xlfn.XLOOKUP(Plant_BD[[#This Row],[Affected Equipment]],'Basic Data'!$A:$A,'Basic Data'!$C:$C),"")</f>
        <v>8.2135421212083434E-2</v>
      </c>
      <c r="W148" s="218" t="s">
        <v>291</v>
      </c>
      <c r="X148" s="218" t="s">
        <v>1075</v>
      </c>
      <c r="Y148" s="218"/>
      <c r="Z148" s="219" t="s">
        <v>1075</v>
      </c>
      <c r="AA148" s="220">
        <v>0.26111111111111113</v>
      </c>
      <c r="AB148" s="220"/>
      <c r="AC148" s="220"/>
      <c r="AD148" s="220">
        <v>0.76944444444444449</v>
      </c>
      <c r="AE148" s="221">
        <f>IF(Plant_BD[[#This Row],[Acknowledgement Time ]]="NA","",(Plant_BD[[#This Row],[Acknowledgement Time ]]-Plant_BD[[#This Row],[Fault Time]])*24)</f>
        <v>-6.2666666666666675</v>
      </c>
      <c r="AF148" s="221">
        <f>IF(Plant_BD[[#This Row],[Work Start time on Fault]]="NA","",(Plant_BD[[#This Row],[Work Start time on Fault]]-Plant_BD[[#This Row],[Fault Time]])*24)</f>
        <v>-6.2666666666666675</v>
      </c>
      <c r="AG148" s="17">
        <f>(Plant_BD[[#This Row],[Work Completion time on fault]]-Plant_BD[[#This Row],[Fault Time]])*24</f>
        <v>12.2</v>
      </c>
      <c r="AH148" s="17">
        <f>IFERROR((Plant_BD[[#This Row],[Work Completion time on fault]]-Plant_BD[[#This Row],[Fault Time]])*24,"")</f>
        <v>12.2</v>
      </c>
      <c r="AI148" s="222" t="s">
        <v>1072</v>
      </c>
      <c r="AJ148" s="6" t="s">
        <v>1068</v>
      </c>
      <c r="AK148" s="223">
        <f>IFERROR(Plant_BD[[#This Row],[Breakdown Time]]*Plant_BD[[#This Row],[Plant Equivalent Weightage]],"")</f>
        <v>1.0020521387874179</v>
      </c>
      <c r="AL148" s="6">
        <v>6.77</v>
      </c>
      <c r="AM148" s="221">
        <f>_xlfn.XLOOKUP($G148,'Modelling New'!$D:$D,'Modelling New'!$O:$O)*Plant_BD[[#This Row],[Lost PoA(kWh/m2)]]*Plant_BD[[#This Row],[DC Capacity Affected (kW)]]</f>
        <v>3011.7766672782877</v>
      </c>
      <c r="AN148" s="6"/>
      <c r="AO148" s="6"/>
      <c r="AP148" s="224"/>
    </row>
    <row r="149" spans="1:42" x14ac:dyDescent="0.3">
      <c r="A149" s="171">
        <f t="shared" si="2"/>
        <v>148</v>
      </c>
      <c r="B149" s="200">
        <v>45753</v>
      </c>
      <c r="C149" s="212">
        <f>YEAR(Plant_BD[[#This Row],[Date]])+IF(MONTH(Plant_BD[[#This Row],[Date]])&gt;=4,1,0)</f>
        <v>2026</v>
      </c>
      <c r="D149" s="212">
        <f>YEAR(Plant_BD[[#This Row],[Date]])</f>
        <v>2025</v>
      </c>
      <c r="E149" s="77" t="s">
        <v>1070</v>
      </c>
      <c r="F149" s="77" t="s">
        <v>1070</v>
      </c>
      <c r="G149" s="213">
        <f>Plant_BD[[#This Row],[Date]]-DAY(Plant_BD[[#This Row],[Date]])+1</f>
        <v>45748</v>
      </c>
      <c r="H149" s="3">
        <f>DAY(EOMONTH(Plant_BD[[#This Row],[Month Year]],0))</f>
        <v>30</v>
      </c>
      <c r="I149" s="214">
        <f>_xlfn.XLOOKUP(Plant_BD[[#This Row],[Date]],'Raw Data'!$G:$G,'Raw Data'!$I:$I)</f>
        <v>0.26111111111111113</v>
      </c>
      <c r="J149" s="214">
        <f>_xlfn.XLOOKUP(Plant_BD[[#This Row],[Date]],'Raw Data'!$G:$G,'Raw Data'!$J:$J)</f>
        <v>0.76944444444444449</v>
      </c>
      <c r="K149" s="215">
        <f>IFERROR((Plant_BD[[#This Row],[Sunset Time (POA&lt;20 W/m2)]]-Plant_BD[[#This Row],[Sunrise Time (POA&gt;20 W/m2)]])*24,"")</f>
        <v>12.2</v>
      </c>
      <c r="L149" s="215"/>
      <c r="M149" s="215"/>
      <c r="N149" s="215"/>
      <c r="O149" s="215"/>
      <c r="P149" s="215"/>
      <c r="Q149" s="215"/>
      <c r="R149" s="215"/>
      <c r="S149" s="215"/>
      <c r="T149" s="216" t="s">
        <v>219</v>
      </c>
      <c r="U149" s="16">
        <f>IFERROR(_xlfn.XLOOKUP(Plant_BD[[#This Row],[Affected Equipment]],'Basic Data'!$A:$A,'Basic Data'!$B:$B),"")</f>
        <v>669.6</v>
      </c>
      <c r="V149" s="217">
        <f>IFERROR(_xlfn.XLOOKUP(Plant_BD[[#This Row],[Affected Equipment]],'Basic Data'!$A:$A,'Basic Data'!$C:$C),"")</f>
        <v>8.348190352703562E-2</v>
      </c>
      <c r="W149" s="218" t="s">
        <v>311</v>
      </c>
      <c r="X149" s="218" t="s">
        <v>1076</v>
      </c>
      <c r="Y149" s="218"/>
      <c r="Z149" s="219" t="s">
        <v>1076</v>
      </c>
      <c r="AA149" s="220">
        <v>0.42916666666666664</v>
      </c>
      <c r="AB149" s="220"/>
      <c r="AC149" s="220"/>
      <c r="AD149" s="220">
        <v>0.43333333333333335</v>
      </c>
      <c r="AE149" s="221">
        <f>IF(Plant_BD[[#This Row],[Acknowledgement Time ]]="NA","",(Plant_BD[[#This Row],[Acknowledgement Time ]]-Plant_BD[[#This Row],[Fault Time]])*24)</f>
        <v>-10.299999999999999</v>
      </c>
      <c r="AF149" s="221">
        <f>IF(Plant_BD[[#This Row],[Work Start time on Fault]]="NA","",(Plant_BD[[#This Row],[Work Start time on Fault]]-Plant_BD[[#This Row],[Fault Time]])*24)</f>
        <v>-10.299999999999999</v>
      </c>
      <c r="AG149" s="17">
        <f>(Plant_BD[[#This Row],[Work Completion time on fault]]-Plant_BD[[#This Row],[Fault Time]])*24</f>
        <v>0.10000000000000098</v>
      </c>
      <c r="AH149" s="17">
        <f>IFERROR((Plant_BD[[#This Row],[Work Completion time on fault]]-Plant_BD[[#This Row],[Fault Time]])*24,"")</f>
        <v>0.10000000000000098</v>
      </c>
      <c r="AI149" s="222" t="s">
        <v>1072</v>
      </c>
      <c r="AJ149" s="6" t="s">
        <v>1068</v>
      </c>
      <c r="AK149" s="223">
        <f>IFERROR(Plant_BD[[#This Row],[Breakdown Time]]*Plant_BD[[#This Row],[Plant Equivalent Weightage]],"")</f>
        <v>8.3481903527036442E-3</v>
      </c>
      <c r="AL149" s="6">
        <v>0.09</v>
      </c>
      <c r="AM149" s="221">
        <f>_xlfn.XLOOKUP($G149,'Modelling New'!$D:$D,'Modelling New'!$O:$O)*Plant_BD[[#This Row],[Lost PoA(kWh/m2)]]*Plant_BD[[#This Row],[DC Capacity Affected (kW)]]</f>
        <v>40.694757012404892</v>
      </c>
      <c r="AN149" s="6"/>
      <c r="AO149" s="6"/>
      <c r="AP149" s="224"/>
    </row>
    <row r="150" spans="1:42" x14ac:dyDescent="0.3">
      <c r="A150" s="171">
        <f t="shared" si="2"/>
        <v>149</v>
      </c>
      <c r="B150" s="200">
        <v>45753</v>
      </c>
      <c r="C150" s="212">
        <f>YEAR(Plant_BD[[#This Row],[Date]])+IF(MONTH(Plant_BD[[#This Row],[Date]])&gt;=4,1,0)</f>
        <v>2026</v>
      </c>
      <c r="D150" s="212">
        <f>YEAR(Plant_BD[[#This Row],[Date]])</f>
        <v>2025</v>
      </c>
      <c r="E150" s="77" t="s">
        <v>1070</v>
      </c>
      <c r="F150" s="77" t="s">
        <v>1070</v>
      </c>
      <c r="G150" s="213">
        <f>Plant_BD[[#This Row],[Date]]-DAY(Plant_BD[[#This Row],[Date]])+1</f>
        <v>45748</v>
      </c>
      <c r="H150" s="3">
        <f>DAY(EOMONTH(Plant_BD[[#This Row],[Month Year]],0))</f>
        <v>30</v>
      </c>
      <c r="I150" s="214">
        <f>_xlfn.XLOOKUP(Plant_BD[[#This Row],[Date]],'Raw Data'!$G:$G,'Raw Data'!$I:$I)</f>
        <v>0.26111111111111113</v>
      </c>
      <c r="J150" s="214">
        <f>_xlfn.XLOOKUP(Plant_BD[[#This Row],[Date]],'Raw Data'!$G:$G,'Raw Data'!$J:$J)</f>
        <v>0.76944444444444449</v>
      </c>
      <c r="K150" s="215">
        <f>IFERROR((Plant_BD[[#This Row],[Sunset Time (POA&lt;20 W/m2)]]-Plant_BD[[#This Row],[Sunrise Time (POA&gt;20 W/m2)]])*24,"")</f>
        <v>12.2</v>
      </c>
      <c r="L150" s="215"/>
      <c r="M150" s="215"/>
      <c r="N150" s="215"/>
      <c r="O150" s="215"/>
      <c r="P150" s="215"/>
      <c r="Q150" s="215"/>
      <c r="R150" s="215"/>
      <c r="S150" s="215"/>
      <c r="T150" s="216" t="s">
        <v>168</v>
      </c>
      <c r="U150" s="16">
        <f>IFERROR(_xlfn.XLOOKUP(Plant_BD[[#This Row],[Affected Equipment]],'Basic Data'!$A:$A,'Basic Data'!$B:$B),"")</f>
        <v>2694.6</v>
      </c>
      <c r="V150" s="217">
        <f>IFERROR(_xlfn.XLOOKUP(Plant_BD[[#This Row],[Affected Equipment]],'Basic Data'!$A:$A,'Basic Data'!$C:$C),"")</f>
        <v>0.33594733758057077</v>
      </c>
      <c r="W150" s="218" t="s">
        <v>311</v>
      </c>
      <c r="X150" s="218" t="s">
        <v>1077</v>
      </c>
      <c r="Y150" s="218"/>
      <c r="Z150" s="219" t="s">
        <v>1077</v>
      </c>
      <c r="AA150" s="220">
        <v>0.43333333333333335</v>
      </c>
      <c r="AB150" s="220"/>
      <c r="AC150" s="220"/>
      <c r="AD150" s="220">
        <v>0.4375</v>
      </c>
      <c r="AE150" s="221">
        <f>IF(Plant_BD[[#This Row],[Acknowledgement Time ]]="NA","",(Plant_BD[[#This Row],[Acknowledgement Time ]]-Plant_BD[[#This Row],[Fault Time]])*24)</f>
        <v>-10.4</v>
      </c>
      <c r="AF150" s="221">
        <f>IF(Plant_BD[[#This Row],[Work Start time on Fault]]="NA","",(Plant_BD[[#This Row],[Work Start time on Fault]]-Plant_BD[[#This Row],[Fault Time]])*24)</f>
        <v>-10.4</v>
      </c>
      <c r="AG150" s="17">
        <f>(Plant_BD[[#This Row],[Work Completion time on fault]]-Plant_BD[[#This Row],[Fault Time]])*24</f>
        <v>9.9999999999999645E-2</v>
      </c>
      <c r="AH150" s="17">
        <f>IFERROR((Plant_BD[[#This Row],[Work Completion time on fault]]-Plant_BD[[#This Row],[Fault Time]])*24,"")</f>
        <v>9.9999999999999645E-2</v>
      </c>
      <c r="AI150" s="222" t="s">
        <v>1074</v>
      </c>
      <c r="AJ150" s="6" t="s">
        <v>1069</v>
      </c>
      <c r="AK150" s="223">
        <f>IFERROR(Plant_BD[[#This Row],[Breakdown Time]]*Plant_BD[[#This Row],[Plant Equivalent Weightage]],"")</f>
        <v>3.3594733758056959E-2</v>
      </c>
      <c r="AL150" s="6">
        <v>0.09</v>
      </c>
      <c r="AM150" s="221">
        <f>_xlfn.XLOOKUP($G150,'Modelling New'!$D:$D,'Modelling New'!$O:$O)*Plant_BD[[#This Row],[Lost PoA(kWh/m2)]]*Plant_BD[[#This Row],[DC Capacity Affected (kW)]]</f>
        <v>163.76357862250035</v>
      </c>
      <c r="AN150" s="6"/>
      <c r="AO150" s="6"/>
      <c r="AP150" s="224"/>
    </row>
    <row r="151" spans="1:42" x14ac:dyDescent="0.3">
      <c r="A151" s="171">
        <f t="shared" si="2"/>
        <v>150</v>
      </c>
      <c r="B151" s="200">
        <v>45753</v>
      </c>
      <c r="C151" s="212">
        <f>YEAR(Plant_BD[[#This Row],[Date]])+IF(MONTH(Plant_BD[[#This Row],[Date]])&gt;=4,1,0)</f>
        <v>2026</v>
      </c>
      <c r="D151" s="212">
        <f>YEAR(Plant_BD[[#This Row],[Date]])</f>
        <v>2025</v>
      </c>
      <c r="E151" s="77" t="s">
        <v>1070</v>
      </c>
      <c r="F151" s="77" t="s">
        <v>1070</v>
      </c>
      <c r="G151" s="213">
        <f>Plant_BD[[#This Row],[Date]]-DAY(Plant_BD[[#This Row],[Date]])+1</f>
        <v>45748</v>
      </c>
      <c r="H151" s="3">
        <f>DAY(EOMONTH(Plant_BD[[#This Row],[Month Year]],0))</f>
        <v>30</v>
      </c>
      <c r="I151" s="214">
        <f>_xlfn.XLOOKUP(Plant_BD[[#This Row],[Date]],'Raw Data'!$G:$G,'Raw Data'!$I:$I)</f>
        <v>0.26111111111111113</v>
      </c>
      <c r="J151" s="214">
        <f>_xlfn.XLOOKUP(Plant_BD[[#This Row],[Date]],'Raw Data'!$G:$G,'Raw Data'!$J:$J)</f>
        <v>0.76944444444444449</v>
      </c>
      <c r="K151" s="215">
        <f>IFERROR((Plant_BD[[#This Row],[Sunset Time (POA&lt;20 W/m2)]]-Plant_BD[[#This Row],[Sunrise Time (POA&gt;20 W/m2)]])*24,"")</f>
        <v>12.2</v>
      </c>
      <c r="L151" s="215"/>
      <c r="M151" s="215"/>
      <c r="N151" s="215"/>
      <c r="O151" s="215"/>
      <c r="P151" s="215"/>
      <c r="Q151" s="215"/>
      <c r="R151" s="215"/>
      <c r="S151" s="215"/>
      <c r="T151" s="216" t="s">
        <v>219</v>
      </c>
      <c r="U151" s="16">
        <f>IFERROR(_xlfn.XLOOKUP(Plant_BD[[#This Row],[Affected Equipment]],'Basic Data'!$A:$A,'Basic Data'!$B:$B),"")</f>
        <v>669.6</v>
      </c>
      <c r="V151" s="217">
        <f>IFERROR(_xlfn.XLOOKUP(Plant_BD[[#This Row],[Affected Equipment]],'Basic Data'!$A:$A,'Basic Data'!$C:$C),"")</f>
        <v>8.348190352703562E-2</v>
      </c>
      <c r="W151" s="218" t="s">
        <v>311</v>
      </c>
      <c r="X151" s="218" t="s">
        <v>1076</v>
      </c>
      <c r="Y151" s="218"/>
      <c r="Z151" s="219" t="s">
        <v>1076</v>
      </c>
      <c r="AA151" s="220">
        <v>0.4375</v>
      </c>
      <c r="AB151" s="220"/>
      <c r="AC151" s="220"/>
      <c r="AD151" s="220">
        <v>0.46736111111111112</v>
      </c>
      <c r="AE151" s="221">
        <f>IF(Plant_BD[[#This Row],[Acknowledgement Time ]]="NA","",(Plant_BD[[#This Row],[Acknowledgement Time ]]-Plant_BD[[#This Row],[Fault Time]])*24)</f>
        <v>-10.5</v>
      </c>
      <c r="AF151" s="221">
        <f>IF(Plant_BD[[#This Row],[Work Start time on Fault]]="NA","",(Plant_BD[[#This Row],[Work Start time on Fault]]-Plant_BD[[#This Row],[Fault Time]])*24)</f>
        <v>-10.5</v>
      </c>
      <c r="AG151" s="17">
        <f>(Plant_BD[[#This Row],[Work Completion time on fault]]-Plant_BD[[#This Row],[Fault Time]])*24</f>
        <v>0.71666666666666679</v>
      </c>
      <c r="AH151" s="17">
        <f>IFERROR((Plant_BD[[#This Row],[Work Completion time on fault]]-Plant_BD[[#This Row],[Fault Time]])*24,"")</f>
        <v>0.71666666666666679</v>
      </c>
      <c r="AI151" s="222" t="s">
        <v>1072</v>
      </c>
      <c r="AJ151" s="6" t="s">
        <v>1068</v>
      </c>
      <c r="AK151" s="223">
        <f>IFERROR(Plant_BD[[#This Row],[Breakdown Time]]*Plant_BD[[#This Row],[Plant Equivalent Weightage]],"")</f>
        <v>5.982869752770887E-2</v>
      </c>
      <c r="AL151" s="6">
        <v>0.63</v>
      </c>
      <c r="AM151" s="221">
        <f>_xlfn.XLOOKUP($G151,'Modelling New'!$D:$D,'Modelling New'!$O:$O)*Plant_BD[[#This Row],[Lost PoA(kWh/m2)]]*Plant_BD[[#This Row],[DC Capacity Affected (kW)]]</f>
        <v>284.86329908683427</v>
      </c>
      <c r="AN151" s="6"/>
      <c r="AO151" s="6"/>
      <c r="AP151" s="224"/>
    </row>
    <row r="152" spans="1:42" x14ac:dyDescent="0.3">
      <c r="A152" s="171">
        <f t="shared" si="2"/>
        <v>151</v>
      </c>
      <c r="B152" s="200">
        <v>45753</v>
      </c>
      <c r="C152" s="212">
        <f>YEAR(Plant_BD[[#This Row],[Date]])+IF(MONTH(Plant_BD[[#This Row],[Date]])&gt;=4,1,0)</f>
        <v>2026</v>
      </c>
      <c r="D152" s="212">
        <f>YEAR(Plant_BD[[#This Row],[Date]])</f>
        <v>2025</v>
      </c>
      <c r="E152" s="77" t="s">
        <v>1070</v>
      </c>
      <c r="F152" s="77" t="s">
        <v>1070</v>
      </c>
      <c r="G152" s="213">
        <f>Plant_BD[[#This Row],[Date]]-DAY(Plant_BD[[#This Row],[Date]])+1</f>
        <v>45748</v>
      </c>
      <c r="H152" s="3">
        <f>DAY(EOMONTH(Plant_BD[[#This Row],[Month Year]],0))</f>
        <v>30</v>
      </c>
      <c r="I152" s="214">
        <f>_xlfn.XLOOKUP(Plant_BD[[#This Row],[Date]],'Raw Data'!$G:$G,'Raw Data'!$I:$I)</f>
        <v>0.26111111111111113</v>
      </c>
      <c r="J152" s="214">
        <f>_xlfn.XLOOKUP(Plant_BD[[#This Row],[Date]],'Raw Data'!$G:$G,'Raw Data'!$J:$J)</f>
        <v>0.76944444444444449</v>
      </c>
      <c r="K152" s="215">
        <f>IFERROR((Plant_BD[[#This Row],[Sunset Time (POA&lt;20 W/m2)]]-Plant_BD[[#This Row],[Sunrise Time (POA&gt;20 W/m2)]])*24,"")</f>
        <v>12.2</v>
      </c>
      <c r="L152" s="215"/>
      <c r="M152" s="215"/>
      <c r="N152" s="215"/>
      <c r="O152" s="215"/>
      <c r="P152" s="215"/>
      <c r="Q152" s="215"/>
      <c r="R152" s="215"/>
      <c r="S152" s="215"/>
      <c r="T152" s="216" t="s">
        <v>220</v>
      </c>
      <c r="U152" s="16">
        <f>IFERROR(_xlfn.XLOOKUP(Plant_BD[[#This Row],[Affected Equipment]],'Basic Data'!$A:$A,'Basic Data'!$B:$B),"")</f>
        <v>669.6</v>
      </c>
      <c r="V152" s="217">
        <f>IFERROR(_xlfn.XLOOKUP(Plant_BD[[#This Row],[Affected Equipment]],'Basic Data'!$A:$A,'Basic Data'!$C:$C),"")</f>
        <v>8.348190352703562E-2</v>
      </c>
      <c r="W152" s="218" t="s">
        <v>311</v>
      </c>
      <c r="X152" s="218" t="s">
        <v>1078</v>
      </c>
      <c r="Y152" s="218"/>
      <c r="Z152" s="219" t="s">
        <v>1078</v>
      </c>
      <c r="AA152" s="220">
        <v>0.4375</v>
      </c>
      <c r="AB152" s="220"/>
      <c r="AC152" s="220"/>
      <c r="AD152" s="220">
        <v>0.46736111111111112</v>
      </c>
      <c r="AE152" s="221">
        <f>IF(Plant_BD[[#This Row],[Acknowledgement Time ]]="NA","",(Plant_BD[[#This Row],[Acknowledgement Time ]]-Plant_BD[[#This Row],[Fault Time]])*24)</f>
        <v>-10.5</v>
      </c>
      <c r="AF152" s="221">
        <f>IF(Plant_BD[[#This Row],[Work Start time on Fault]]="NA","",(Plant_BD[[#This Row],[Work Start time on Fault]]-Plant_BD[[#This Row],[Fault Time]])*24)</f>
        <v>-10.5</v>
      </c>
      <c r="AG152" s="17">
        <f>(Plant_BD[[#This Row],[Work Completion time on fault]]-Plant_BD[[#This Row],[Fault Time]])*24</f>
        <v>0.71666666666666679</v>
      </c>
      <c r="AH152" s="17">
        <f>IFERROR((Plant_BD[[#This Row],[Work Completion time on fault]]-Plant_BD[[#This Row],[Fault Time]])*24,"")</f>
        <v>0.71666666666666679</v>
      </c>
      <c r="AI152" s="222" t="s">
        <v>1072</v>
      </c>
      <c r="AJ152" s="6" t="s">
        <v>1068</v>
      </c>
      <c r="AK152" s="223">
        <f>IFERROR(Plant_BD[[#This Row],[Breakdown Time]]*Plant_BD[[#This Row],[Plant Equivalent Weightage]],"")</f>
        <v>5.982869752770887E-2</v>
      </c>
      <c r="AL152" s="6">
        <v>0.63</v>
      </c>
      <c r="AM152" s="221">
        <f>_xlfn.XLOOKUP($G152,'Modelling New'!$D:$D,'Modelling New'!$O:$O)*Plant_BD[[#This Row],[Lost PoA(kWh/m2)]]*Plant_BD[[#This Row],[DC Capacity Affected (kW)]]</f>
        <v>284.86329908683427</v>
      </c>
      <c r="AN152" s="6"/>
      <c r="AO152" s="6"/>
      <c r="AP152" s="224"/>
    </row>
    <row r="153" spans="1:42" x14ac:dyDescent="0.3">
      <c r="A153" s="171">
        <f t="shared" si="2"/>
        <v>152</v>
      </c>
      <c r="B153" s="200">
        <v>45753</v>
      </c>
      <c r="C153" s="212">
        <f>YEAR(Plant_BD[[#This Row],[Date]])+IF(MONTH(Plant_BD[[#This Row],[Date]])&gt;=4,1,0)</f>
        <v>2026</v>
      </c>
      <c r="D153" s="212">
        <f>YEAR(Plant_BD[[#This Row],[Date]])</f>
        <v>2025</v>
      </c>
      <c r="E153" s="77" t="s">
        <v>1070</v>
      </c>
      <c r="F153" s="77" t="s">
        <v>1070</v>
      </c>
      <c r="G153" s="213">
        <f>Plant_BD[[#This Row],[Date]]-DAY(Plant_BD[[#This Row],[Date]])+1</f>
        <v>45748</v>
      </c>
      <c r="H153" s="3">
        <f>DAY(EOMONTH(Plant_BD[[#This Row],[Month Year]],0))</f>
        <v>30</v>
      </c>
      <c r="I153" s="214">
        <f>_xlfn.XLOOKUP(Plant_BD[[#This Row],[Date]],'Raw Data'!$G:$G,'Raw Data'!$I:$I)</f>
        <v>0.26111111111111113</v>
      </c>
      <c r="J153" s="214">
        <f>_xlfn.XLOOKUP(Plant_BD[[#This Row],[Date]],'Raw Data'!$G:$G,'Raw Data'!$J:$J)</f>
        <v>0.76944444444444449</v>
      </c>
      <c r="K153" s="215">
        <f>IFERROR((Plant_BD[[#This Row],[Sunset Time (POA&lt;20 W/m2)]]-Plant_BD[[#This Row],[Sunrise Time (POA&gt;20 W/m2)]])*24,"")</f>
        <v>12.2</v>
      </c>
      <c r="L153" s="215"/>
      <c r="M153" s="215"/>
      <c r="N153" s="215"/>
      <c r="O153" s="215"/>
      <c r="P153" s="215"/>
      <c r="Q153" s="215"/>
      <c r="R153" s="215"/>
      <c r="S153" s="215"/>
      <c r="T153" s="216" t="s">
        <v>168</v>
      </c>
      <c r="U153" s="16">
        <f>IFERROR(_xlfn.XLOOKUP(Plant_BD[[#This Row],[Affected Equipment]],'Basic Data'!$A:$A,'Basic Data'!$B:$B),"")</f>
        <v>2694.6</v>
      </c>
      <c r="V153" s="217">
        <f>IFERROR(_xlfn.XLOOKUP(Plant_BD[[#This Row],[Affected Equipment]],'Basic Data'!$A:$A,'Basic Data'!$C:$C),"")</f>
        <v>0.33594733758057077</v>
      </c>
      <c r="W153" s="218" t="s">
        <v>311</v>
      </c>
      <c r="X153" s="218" t="s">
        <v>1077</v>
      </c>
      <c r="Y153" s="218"/>
      <c r="Z153" s="219" t="s">
        <v>1077</v>
      </c>
      <c r="AA153" s="220">
        <v>0.46736111111111112</v>
      </c>
      <c r="AB153" s="220"/>
      <c r="AC153" s="220"/>
      <c r="AD153" s="220">
        <v>0.47222222222222221</v>
      </c>
      <c r="AE153" s="221">
        <f>IF(Plant_BD[[#This Row],[Acknowledgement Time ]]="NA","",(Plant_BD[[#This Row],[Acknowledgement Time ]]-Plant_BD[[#This Row],[Fault Time]])*24)</f>
        <v>-11.216666666666667</v>
      </c>
      <c r="AF153" s="221">
        <f>IF(Plant_BD[[#This Row],[Work Start time on Fault]]="NA","",(Plant_BD[[#This Row],[Work Start time on Fault]]-Plant_BD[[#This Row],[Fault Time]])*24)</f>
        <v>-11.216666666666667</v>
      </c>
      <c r="AG153" s="17">
        <f>(Plant_BD[[#This Row],[Work Completion time on fault]]-Plant_BD[[#This Row],[Fault Time]])*24</f>
        <v>0.11666666666666625</v>
      </c>
      <c r="AH153" s="17">
        <f>IFERROR((Plant_BD[[#This Row],[Work Completion time on fault]]-Plant_BD[[#This Row],[Fault Time]])*24,"")</f>
        <v>0.11666666666666625</v>
      </c>
      <c r="AI153" s="222" t="s">
        <v>1074</v>
      </c>
      <c r="AJ153" s="6" t="s">
        <v>1069</v>
      </c>
      <c r="AK153" s="223">
        <f>IFERROR(Plant_BD[[#This Row],[Breakdown Time]]*Plant_BD[[#This Row],[Plant Equivalent Weightage]],"")</f>
        <v>3.9193856051066449E-2</v>
      </c>
      <c r="AL153" s="6">
        <v>0.12</v>
      </c>
      <c r="AM153" s="221">
        <f>_xlfn.XLOOKUP($G153,'Modelling New'!$D:$D,'Modelling New'!$O:$O)*Plant_BD[[#This Row],[Lost PoA(kWh/m2)]]*Plant_BD[[#This Row],[DC Capacity Affected (kW)]]</f>
        <v>218.3514381633338</v>
      </c>
      <c r="AN153" s="6"/>
      <c r="AO153" s="6"/>
      <c r="AP153" s="224"/>
    </row>
    <row r="154" spans="1:42" x14ac:dyDescent="0.3">
      <c r="A154" s="171">
        <f t="shared" si="2"/>
        <v>153</v>
      </c>
      <c r="B154" s="200">
        <v>45753</v>
      </c>
      <c r="C154" s="212">
        <f>YEAR(Plant_BD[[#This Row],[Date]])+IF(MONTH(Plant_BD[[#This Row],[Date]])&gt;=4,1,0)</f>
        <v>2026</v>
      </c>
      <c r="D154" s="212">
        <f>YEAR(Plant_BD[[#This Row],[Date]])</f>
        <v>2025</v>
      </c>
      <c r="E154" s="77" t="s">
        <v>1070</v>
      </c>
      <c r="F154" s="77" t="s">
        <v>1070</v>
      </c>
      <c r="G154" s="213">
        <f>Plant_BD[[#This Row],[Date]]-DAY(Plant_BD[[#This Row],[Date]])+1</f>
        <v>45748</v>
      </c>
      <c r="H154" s="3">
        <f>DAY(EOMONTH(Plant_BD[[#This Row],[Month Year]],0))</f>
        <v>30</v>
      </c>
      <c r="I154" s="214">
        <f>_xlfn.XLOOKUP(Plant_BD[[#This Row],[Date]],'Raw Data'!$G:$G,'Raw Data'!$I:$I)</f>
        <v>0.26111111111111113</v>
      </c>
      <c r="J154" s="214">
        <f>_xlfn.XLOOKUP(Plant_BD[[#This Row],[Date]],'Raw Data'!$G:$G,'Raw Data'!$J:$J)</f>
        <v>0.76944444444444449</v>
      </c>
      <c r="K154" s="215">
        <f>IFERROR((Plant_BD[[#This Row],[Sunset Time (POA&lt;20 W/m2)]]-Plant_BD[[#This Row],[Sunrise Time (POA&gt;20 W/m2)]])*24,"")</f>
        <v>12.2</v>
      </c>
      <c r="L154" s="215"/>
      <c r="M154" s="215"/>
      <c r="N154" s="215"/>
      <c r="O154" s="215"/>
      <c r="P154" s="215"/>
      <c r="Q154" s="215"/>
      <c r="R154" s="215"/>
      <c r="S154" s="215"/>
      <c r="T154" s="216" t="s">
        <v>219</v>
      </c>
      <c r="U154" s="16">
        <f>IFERROR(_xlfn.XLOOKUP(Plant_BD[[#This Row],[Affected Equipment]],'Basic Data'!$A:$A,'Basic Data'!$B:$B),"")</f>
        <v>669.6</v>
      </c>
      <c r="V154" s="217">
        <f>IFERROR(_xlfn.XLOOKUP(Plant_BD[[#This Row],[Affected Equipment]],'Basic Data'!$A:$A,'Basic Data'!$C:$C),"")</f>
        <v>8.348190352703562E-2</v>
      </c>
      <c r="W154" s="218" t="s">
        <v>311</v>
      </c>
      <c r="X154" s="218" t="s">
        <v>1076</v>
      </c>
      <c r="Y154" s="218"/>
      <c r="Z154" s="219" t="s">
        <v>1076</v>
      </c>
      <c r="AA154" s="220">
        <v>0.47222222222222221</v>
      </c>
      <c r="AB154" s="220"/>
      <c r="AC154" s="220"/>
      <c r="AD154" s="220">
        <v>0.4861111111111111</v>
      </c>
      <c r="AE154" s="221">
        <f>IF(Plant_BD[[#This Row],[Acknowledgement Time ]]="NA","",(Plant_BD[[#This Row],[Acknowledgement Time ]]-Plant_BD[[#This Row],[Fault Time]])*24)</f>
        <v>-11.333333333333332</v>
      </c>
      <c r="AF154" s="221">
        <f>IF(Plant_BD[[#This Row],[Work Start time on Fault]]="NA","",(Plant_BD[[#This Row],[Work Start time on Fault]]-Plant_BD[[#This Row],[Fault Time]])*24)</f>
        <v>-11.333333333333332</v>
      </c>
      <c r="AG154" s="17">
        <f>(Plant_BD[[#This Row],[Work Completion time on fault]]-Plant_BD[[#This Row],[Fault Time]])*24</f>
        <v>0.33333333333333348</v>
      </c>
      <c r="AH154" s="17">
        <f>IFERROR((Plant_BD[[#This Row],[Work Completion time on fault]]-Plant_BD[[#This Row],[Fault Time]])*24,"")</f>
        <v>0.33333333333333348</v>
      </c>
      <c r="AI154" s="222" t="s">
        <v>1072</v>
      </c>
      <c r="AJ154" s="6" t="s">
        <v>1068</v>
      </c>
      <c r="AK154" s="223">
        <f>IFERROR(Plant_BD[[#This Row],[Breakdown Time]]*Plant_BD[[#This Row],[Plant Equivalent Weightage]],"")</f>
        <v>2.7827301175678554E-2</v>
      </c>
      <c r="AL154" s="6">
        <v>0.33</v>
      </c>
      <c r="AM154" s="221">
        <f>_xlfn.XLOOKUP($G154,'Modelling New'!$D:$D,'Modelling New'!$O:$O)*Plant_BD[[#This Row],[Lost PoA(kWh/m2)]]*Plant_BD[[#This Row],[DC Capacity Affected (kW)]]</f>
        <v>149.21410904548463</v>
      </c>
      <c r="AN154" s="6"/>
      <c r="AO154" s="6"/>
      <c r="AP154" s="224"/>
    </row>
    <row r="155" spans="1:42" x14ac:dyDescent="0.3">
      <c r="A155" s="171">
        <f t="shared" si="2"/>
        <v>154</v>
      </c>
      <c r="B155" s="200">
        <v>45753</v>
      </c>
      <c r="C155" s="212">
        <f>YEAR(Plant_BD[[#This Row],[Date]])+IF(MONTH(Plant_BD[[#This Row],[Date]])&gt;=4,1,0)</f>
        <v>2026</v>
      </c>
      <c r="D155" s="212">
        <f>YEAR(Plant_BD[[#This Row],[Date]])</f>
        <v>2025</v>
      </c>
      <c r="E155" s="77" t="s">
        <v>1070</v>
      </c>
      <c r="F155" s="77" t="s">
        <v>1070</v>
      </c>
      <c r="G155" s="213">
        <f>Plant_BD[[#This Row],[Date]]-DAY(Plant_BD[[#This Row],[Date]])+1</f>
        <v>45748</v>
      </c>
      <c r="H155" s="3">
        <f>DAY(EOMONTH(Plant_BD[[#This Row],[Month Year]],0))</f>
        <v>30</v>
      </c>
      <c r="I155" s="214">
        <f>_xlfn.XLOOKUP(Plant_BD[[#This Row],[Date]],'Raw Data'!$G:$G,'Raw Data'!$I:$I)</f>
        <v>0.26111111111111113</v>
      </c>
      <c r="J155" s="214">
        <f>_xlfn.XLOOKUP(Plant_BD[[#This Row],[Date]],'Raw Data'!$G:$G,'Raw Data'!$J:$J)</f>
        <v>0.76944444444444449</v>
      </c>
      <c r="K155" s="215">
        <f>IFERROR((Plant_BD[[#This Row],[Sunset Time (POA&lt;20 W/m2)]]-Plant_BD[[#This Row],[Sunrise Time (POA&gt;20 W/m2)]])*24,"")</f>
        <v>12.2</v>
      </c>
      <c r="L155" s="215"/>
      <c r="M155" s="215"/>
      <c r="N155" s="215"/>
      <c r="O155" s="215"/>
      <c r="P155" s="215"/>
      <c r="Q155" s="215"/>
      <c r="R155" s="215"/>
      <c r="S155" s="215"/>
      <c r="T155" s="216" t="s">
        <v>220</v>
      </c>
      <c r="U155" s="16">
        <f>IFERROR(_xlfn.XLOOKUP(Plant_BD[[#This Row],[Affected Equipment]],'Basic Data'!$A:$A,'Basic Data'!$B:$B),"")</f>
        <v>669.6</v>
      </c>
      <c r="V155" s="217">
        <f>IFERROR(_xlfn.XLOOKUP(Plant_BD[[#This Row],[Affected Equipment]],'Basic Data'!$A:$A,'Basic Data'!$C:$C),"")</f>
        <v>8.348190352703562E-2</v>
      </c>
      <c r="W155" s="218" t="s">
        <v>311</v>
      </c>
      <c r="X155" s="218" t="s">
        <v>1078</v>
      </c>
      <c r="Y155" s="218"/>
      <c r="Z155" s="219" t="s">
        <v>1078</v>
      </c>
      <c r="AA155" s="220">
        <v>0.47222222222222221</v>
      </c>
      <c r="AB155" s="220"/>
      <c r="AC155" s="220"/>
      <c r="AD155" s="220">
        <v>0.4861111111111111</v>
      </c>
      <c r="AE155" s="221">
        <f>IF(Plant_BD[[#This Row],[Acknowledgement Time ]]="NA","",(Plant_BD[[#This Row],[Acknowledgement Time ]]-Plant_BD[[#This Row],[Fault Time]])*24)</f>
        <v>-11.333333333333332</v>
      </c>
      <c r="AF155" s="221">
        <f>IF(Plant_BD[[#This Row],[Work Start time on Fault]]="NA","",(Plant_BD[[#This Row],[Work Start time on Fault]]-Plant_BD[[#This Row],[Fault Time]])*24)</f>
        <v>-11.333333333333332</v>
      </c>
      <c r="AG155" s="17">
        <f>(Plant_BD[[#This Row],[Work Completion time on fault]]-Plant_BD[[#This Row],[Fault Time]])*24</f>
        <v>0.33333333333333348</v>
      </c>
      <c r="AH155" s="17">
        <f>IFERROR((Plant_BD[[#This Row],[Work Completion time on fault]]-Plant_BD[[#This Row],[Fault Time]])*24,"")</f>
        <v>0.33333333333333348</v>
      </c>
      <c r="AI155" s="222" t="s">
        <v>1072</v>
      </c>
      <c r="AJ155" s="6" t="s">
        <v>1068</v>
      </c>
      <c r="AK155" s="223">
        <f>IFERROR(Plant_BD[[#This Row],[Breakdown Time]]*Plant_BD[[#This Row],[Plant Equivalent Weightage]],"")</f>
        <v>2.7827301175678554E-2</v>
      </c>
      <c r="AL155" s="6">
        <v>0.33</v>
      </c>
      <c r="AM155" s="221">
        <f>_xlfn.XLOOKUP($G155,'Modelling New'!$D:$D,'Modelling New'!$O:$O)*Plant_BD[[#This Row],[Lost PoA(kWh/m2)]]*Plant_BD[[#This Row],[DC Capacity Affected (kW)]]</f>
        <v>149.21410904548463</v>
      </c>
      <c r="AN155" s="6"/>
      <c r="AO155" s="6"/>
      <c r="AP155" s="224"/>
    </row>
    <row r="156" spans="1:42" x14ac:dyDescent="0.3">
      <c r="A156" s="171">
        <f t="shared" si="2"/>
        <v>155</v>
      </c>
      <c r="B156" s="200">
        <v>45753</v>
      </c>
      <c r="C156" s="212">
        <f>YEAR(Plant_BD[[#This Row],[Date]])+IF(MONTH(Plant_BD[[#This Row],[Date]])&gt;=4,1,0)</f>
        <v>2026</v>
      </c>
      <c r="D156" s="212">
        <f>YEAR(Plant_BD[[#This Row],[Date]])</f>
        <v>2025</v>
      </c>
      <c r="E156" s="77" t="s">
        <v>1070</v>
      </c>
      <c r="F156" s="77" t="s">
        <v>1070</v>
      </c>
      <c r="G156" s="213">
        <f>Plant_BD[[#This Row],[Date]]-DAY(Plant_BD[[#This Row],[Date]])+1</f>
        <v>45748</v>
      </c>
      <c r="H156" s="3">
        <f>DAY(EOMONTH(Plant_BD[[#This Row],[Month Year]],0))</f>
        <v>30</v>
      </c>
      <c r="I156" s="214">
        <f>_xlfn.XLOOKUP(Plant_BD[[#This Row],[Date]],'Raw Data'!$G:$G,'Raw Data'!$I:$I)</f>
        <v>0.26111111111111113</v>
      </c>
      <c r="J156" s="214">
        <f>_xlfn.XLOOKUP(Plant_BD[[#This Row],[Date]],'Raw Data'!$G:$G,'Raw Data'!$J:$J)</f>
        <v>0.76944444444444449</v>
      </c>
      <c r="K156" s="215">
        <f>IFERROR((Plant_BD[[#This Row],[Sunset Time (POA&lt;20 W/m2)]]-Plant_BD[[#This Row],[Sunrise Time (POA&gt;20 W/m2)]])*24,"")</f>
        <v>12.2</v>
      </c>
      <c r="L156" s="215"/>
      <c r="M156" s="215"/>
      <c r="N156" s="215"/>
      <c r="O156" s="215"/>
      <c r="P156" s="215"/>
      <c r="Q156" s="215"/>
      <c r="R156" s="215"/>
      <c r="S156" s="215"/>
      <c r="T156" s="216" t="s">
        <v>168</v>
      </c>
      <c r="U156" s="16">
        <f>IFERROR(_xlfn.XLOOKUP(Plant_BD[[#This Row],[Affected Equipment]],'Basic Data'!$A:$A,'Basic Data'!$B:$B),"")</f>
        <v>2694.6</v>
      </c>
      <c r="V156" s="217">
        <f>IFERROR(_xlfn.XLOOKUP(Plant_BD[[#This Row],[Affected Equipment]],'Basic Data'!$A:$A,'Basic Data'!$C:$C),"")</f>
        <v>0.33594733758057077</v>
      </c>
      <c r="W156" s="218" t="s">
        <v>311</v>
      </c>
      <c r="X156" s="218" t="s">
        <v>1077</v>
      </c>
      <c r="Y156" s="218"/>
      <c r="Z156" s="219" t="s">
        <v>1077</v>
      </c>
      <c r="AA156" s="220">
        <v>0.4861111111111111</v>
      </c>
      <c r="AB156" s="220"/>
      <c r="AC156" s="220"/>
      <c r="AD156" s="220">
        <v>0.49166666666666664</v>
      </c>
      <c r="AE156" s="221">
        <f>IF(Plant_BD[[#This Row],[Acknowledgement Time ]]="NA","",(Plant_BD[[#This Row],[Acknowledgement Time ]]-Plant_BD[[#This Row],[Fault Time]])*24)</f>
        <v>-11.666666666666666</v>
      </c>
      <c r="AF156" s="221">
        <f>IF(Plant_BD[[#This Row],[Work Start time on Fault]]="NA","",(Plant_BD[[#This Row],[Work Start time on Fault]]-Plant_BD[[#This Row],[Fault Time]])*24)</f>
        <v>-11.666666666666666</v>
      </c>
      <c r="AG156" s="17">
        <f>(Plant_BD[[#This Row],[Work Completion time on fault]]-Plant_BD[[#This Row],[Fault Time]])*24</f>
        <v>0.13333333333333286</v>
      </c>
      <c r="AH156" s="17">
        <f>IFERROR((Plant_BD[[#This Row],[Work Completion time on fault]]-Plant_BD[[#This Row],[Fault Time]])*24,"")</f>
        <v>0.13333333333333286</v>
      </c>
      <c r="AI156" s="222" t="s">
        <v>1074</v>
      </c>
      <c r="AJ156" s="6" t="s">
        <v>1069</v>
      </c>
      <c r="AK156" s="223">
        <f>IFERROR(Plant_BD[[#This Row],[Breakdown Time]]*Plant_BD[[#This Row],[Plant Equivalent Weightage]],"")</f>
        <v>4.4792978344075945E-2</v>
      </c>
      <c r="AL156" s="6">
        <v>0.14000000000000001</v>
      </c>
      <c r="AM156" s="221">
        <f>_xlfn.XLOOKUP($G156,'Modelling New'!$D:$D,'Modelling New'!$O:$O)*Plant_BD[[#This Row],[Lost PoA(kWh/m2)]]*Plant_BD[[#This Row],[DC Capacity Affected (kW)]]</f>
        <v>254.74334452388945</v>
      </c>
      <c r="AN156" s="6"/>
      <c r="AO156" s="6"/>
      <c r="AP156" s="224"/>
    </row>
    <row r="157" spans="1:42" x14ac:dyDescent="0.3">
      <c r="A157" s="171">
        <f t="shared" si="2"/>
        <v>156</v>
      </c>
      <c r="B157" s="200">
        <v>45753</v>
      </c>
      <c r="C157" s="212">
        <f>YEAR(Plant_BD[[#This Row],[Date]])+IF(MONTH(Plant_BD[[#This Row],[Date]])&gt;=4,1,0)</f>
        <v>2026</v>
      </c>
      <c r="D157" s="212">
        <f>YEAR(Plant_BD[[#This Row],[Date]])</f>
        <v>2025</v>
      </c>
      <c r="E157" s="77" t="s">
        <v>1070</v>
      </c>
      <c r="F157" s="77" t="s">
        <v>1070</v>
      </c>
      <c r="G157" s="213">
        <f>Plant_BD[[#This Row],[Date]]-DAY(Plant_BD[[#This Row],[Date]])+1</f>
        <v>45748</v>
      </c>
      <c r="H157" s="3">
        <f>DAY(EOMONTH(Plant_BD[[#This Row],[Month Year]],0))</f>
        <v>30</v>
      </c>
      <c r="I157" s="214">
        <f>_xlfn.XLOOKUP(Plant_BD[[#This Row],[Date]],'Raw Data'!$G:$G,'Raw Data'!$I:$I)</f>
        <v>0.26111111111111113</v>
      </c>
      <c r="J157" s="214">
        <f>_xlfn.XLOOKUP(Plant_BD[[#This Row],[Date]],'Raw Data'!$G:$G,'Raw Data'!$J:$J)</f>
        <v>0.76944444444444449</v>
      </c>
      <c r="K157" s="215">
        <f>IFERROR((Plant_BD[[#This Row],[Sunset Time (POA&lt;20 W/m2)]]-Plant_BD[[#This Row],[Sunrise Time (POA&gt;20 W/m2)]])*24,"")</f>
        <v>12.2</v>
      </c>
      <c r="L157" s="215"/>
      <c r="M157" s="215"/>
      <c r="N157" s="215"/>
      <c r="O157" s="215"/>
      <c r="P157" s="215"/>
      <c r="Q157" s="215"/>
      <c r="R157" s="215"/>
      <c r="S157" s="215"/>
      <c r="T157" s="216" t="s">
        <v>219</v>
      </c>
      <c r="U157" s="16">
        <f>IFERROR(_xlfn.XLOOKUP(Plant_BD[[#This Row],[Affected Equipment]],'Basic Data'!$A:$A,'Basic Data'!$B:$B),"")</f>
        <v>669.6</v>
      </c>
      <c r="V157" s="217">
        <f>IFERROR(_xlfn.XLOOKUP(Plant_BD[[#This Row],[Affected Equipment]],'Basic Data'!$A:$A,'Basic Data'!$C:$C),"")</f>
        <v>8.348190352703562E-2</v>
      </c>
      <c r="W157" s="218" t="s">
        <v>311</v>
      </c>
      <c r="X157" s="218" t="s">
        <v>1076</v>
      </c>
      <c r="Y157" s="218"/>
      <c r="Z157" s="219" t="s">
        <v>1076</v>
      </c>
      <c r="AA157" s="220">
        <v>0.49166666666666664</v>
      </c>
      <c r="AB157" s="220"/>
      <c r="AC157" s="220"/>
      <c r="AD157" s="220">
        <v>0.50069444444444444</v>
      </c>
      <c r="AE157" s="221">
        <f>IF(Plant_BD[[#This Row],[Acknowledgement Time ]]="NA","",(Plant_BD[[#This Row],[Acknowledgement Time ]]-Plant_BD[[#This Row],[Fault Time]])*24)</f>
        <v>-11.799999999999999</v>
      </c>
      <c r="AF157" s="221">
        <f>IF(Plant_BD[[#This Row],[Work Start time on Fault]]="NA","",(Plant_BD[[#This Row],[Work Start time on Fault]]-Plant_BD[[#This Row],[Fault Time]])*24)</f>
        <v>-11.799999999999999</v>
      </c>
      <c r="AG157" s="17">
        <f>(Plant_BD[[#This Row],[Work Completion time on fault]]-Plant_BD[[#This Row],[Fault Time]])*24</f>
        <v>0.21666666666666723</v>
      </c>
      <c r="AH157" s="17">
        <f>IFERROR((Plant_BD[[#This Row],[Work Completion time on fault]]-Plant_BD[[#This Row],[Fault Time]])*24,"")</f>
        <v>0.21666666666666723</v>
      </c>
      <c r="AI157" s="222" t="s">
        <v>1072</v>
      </c>
      <c r="AJ157" s="6" t="s">
        <v>1068</v>
      </c>
      <c r="AK157" s="223">
        <f>IFERROR(Plant_BD[[#This Row],[Breakdown Time]]*Plant_BD[[#This Row],[Plant Equivalent Weightage]],"")</f>
        <v>1.8087745764191098E-2</v>
      </c>
      <c r="AL157" s="6">
        <v>0.23</v>
      </c>
      <c r="AM157" s="221">
        <f>_xlfn.XLOOKUP($G157,'Modelling New'!$D:$D,'Modelling New'!$O:$O)*Plant_BD[[#This Row],[Lost PoA(kWh/m2)]]*Plant_BD[[#This Row],[DC Capacity Affected (kW)]]</f>
        <v>103.99771236503474</v>
      </c>
      <c r="AN157" s="6"/>
      <c r="AO157" s="6"/>
      <c r="AP157" s="224"/>
    </row>
    <row r="158" spans="1:42" x14ac:dyDescent="0.3">
      <c r="A158" s="171">
        <f t="shared" si="2"/>
        <v>157</v>
      </c>
      <c r="B158" s="200">
        <v>45753</v>
      </c>
      <c r="C158" s="212">
        <f>YEAR(Plant_BD[[#This Row],[Date]])+IF(MONTH(Plant_BD[[#This Row],[Date]])&gt;=4,1,0)</f>
        <v>2026</v>
      </c>
      <c r="D158" s="212">
        <f>YEAR(Plant_BD[[#This Row],[Date]])</f>
        <v>2025</v>
      </c>
      <c r="E158" s="77" t="s">
        <v>1070</v>
      </c>
      <c r="F158" s="77" t="s">
        <v>1070</v>
      </c>
      <c r="G158" s="213">
        <f>Plant_BD[[#This Row],[Date]]-DAY(Plant_BD[[#This Row],[Date]])+1</f>
        <v>45748</v>
      </c>
      <c r="H158" s="3">
        <f>DAY(EOMONTH(Plant_BD[[#This Row],[Month Year]],0))</f>
        <v>30</v>
      </c>
      <c r="I158" s="214">
        <f>_xlfn.XLOOKUP(Plant_BD[[#This Row],[Date]],'Raw Data'!$G:$G,'Raw Data'!$I:$I)</f>
        <v>0.26111111111111113</v>
      </c>
      <c r="J158" s="214">
        <f>_xlfn.XLOOKUP(Plant_BD[[#This Row],[Date]],'Raw Data'!$G:$G,'Raw Data'!$J:$J)</f>
        <v>0.76944444444444449</v>
      </c>
      <c r="K158" s="215">
        <f>IFERROR((Plant_BD[[#This Row],[Sunset Time (POA&lt;20 W/m2)]]-Plant_BD[[#This Row],[Sunrise Time (POA&gt;20 W/m2)]])*24,"")</f>
        <v>12.2</v>
      </c>
      <c r="L158" s="215"/>
      <c r="M158" s="215"/>
      <c r="N158" s="215"/>
      <c r="O158" s="215"/>
      <c r="P158" s="215"/>
      <c r="Q158" s="215"/>
      <c r="R158" s="215"/>
      <c r="S158" s="215"/>
      <c r="T158" s="216" t="s">
        <v>220</v>
      </c>
      <c r="U158" s="16">
        <f>IFERROR(_xlfn.XLOOKUP(Plant_BD[[#This Row],[Affected Equipment]],'Basic Data'!$A:$A,'Basic Data'!$B:$B),"")</f>
        <v>669.6</v>
      </c>
      <c r="V158" s="217">
        <f>IFERROR(_xlfn.XLOOKUP(Plant_BD[[#This Row],[Affected Equipment]],'Basic Data'!$A:$A,'Basic Data'!$C:$C),"")</f>
        <v>8.348190352703562E-2</v>
      </c>
      <c r="W158" s="218" t="s">
        <v>311</v>
      </c>
      <c r="X158" s="218" t="s">
        <v>1078</v>
      </c>
      <c r="Y158" s="218"/>
      <c r="Z158" s="219" t="s">
        <v>1078</v>
      </c>
      <c r="AA158" s="220">
        <v>0.49166666666666664</v>
      </c>
      <c r="AB158" s="220"/>
      <c r="AC158" s="220"/>
      <c r="AD158" s="220">
        <v>0.50069444444444444</v>
      </c>
      <c r="AE158" s="221">
        <f>IF(Plant_BD[[#This Row],[Acknowledgement Time ]]="NA","",(Plant_BD[[#This Row],[Acknowledgement Time ]]-Plant_BD[[#This Row],[Fault Time]])*24)</f>
        <v>-11.799999999999999</v>
      </c>
      <c r="AF158" s="221">
        <f>IF(Plant_BD[[#This Row],[Work Start time on Fault]]="NA","",(Plant_BD[[#This Row],[Work Start time on Fault]]-Plant_BD[[#This Row],[Fault Time]])*24)</f>
        <v>-11.799999999999999</v>
      </c>
      <c r="AG158" s="17">
        <f>(Plant_BD[[#This Row],[Work Completion time on fault]]-Plant_BD[[#This Row],[Fault Time]])*24</f>
        <v>0.21666666666666723</v>
      </c>
      <c r="AH158" s="17">
        <f>IFERROR((Plant_BD[[#This Row],[Work Completion time on fault]]-Plant_BD[[#This Row],[Fault Time]])*24,"")</f>
        <v>0.21666666666666723</v>
      </c>
      <c r="AI158" s="222" t="s">
        <v>1072</v>
      </c>
      <c r="AJ158" s="6" t="s">
        <v>1068</v>
      </c>
      <c r="AK158" s="223">
        <f>IFERROR(Plant_BD[[#This Row],[Breakdown Time]]*Plant_BD[[#This Row],[Plant Equivalent Weightage]],"")</f>
        <v>1.8087745764191098E-2</v>
      </c>
      <c r="AL158" s="6">
        <v>0.23</v>
      </c>
      <c r="AM158" s="221">
        <f>_xlfn.XLOOKUP($G158,'Modelling New'!$D:$D,'Modelling New'!$O:$O)*Plant_BD[[#This Row],[Lost PoA(kWh/m2)]]*Plant_BD[[#This Row],[DC Capacity Affected (kW)]]</f>
        <v>103.99771236503474</v>
      </c>
      <c r="AN158" s="6"/>
      <c r="AO158" s="6"/>
      <c r="AP158" s="224"/>
    </row>
    <row r="159" spans="1:42" x14ac:dyDescent="0.3">
      <c r="A159" s="171">
        <f t="shared" si="2"/>
        <v>158</v>
      </c>
      <c r="B159" s="200">
        <v>45753</v>
      </c>
      <c r="C159" s="212">
        <f>YEAR(Plant_BD[[#This Row],[Date]])+IF(MONTH(Plant_BD[[#This Row],[Date]])&gt;=4,1,0)</f>
        <v>2026</v>
      </c>
      <c r="D159" s="212">
        <f>YEAR(Plant_BD[[#This Row],[Date]])</f>
        <v>2025</v>
      </c>
      <c r="E159" s="77" t="s">
        <v>1070</v>
      </c>
      <c r="F159" s="77" t="s">
        <v>1070</v>
      </c>
      <c r="G159" s="213">
        <f>Plant_BD[[#This Row],[Date]]-DAY(Plant_BD[[#This Row],[Date]])+1</f>
        <v>45748</v>
      </c>
      <c r="H159" s="3">
        <f>DAY(EOMONTH(Plant_BD[[#This Row],[Month Year]],0))</f>
        <v>30</v>
      </c>
      <c r="I159" s="214">
        <f>_xlfn.XLOOKUP(Plant_BD[[#This Row],[Date]],'Raw Data'!$G:$G,'Raw Data'!$I:$I)</f>
        <v>0.26111111111111113</v>
      </c>
      <c r="J159" s="214">
        <f>_xlfn.XLOOKUP(Plant_BD[[#This Row],[Date]],'Raw Data'!$G:$G,'Raw Data'!$J:$J)</f>
        <v>0.76944444444444449</v>
      </c>
      <c r="K159" s="215">
        <f>IFERROR((Plant_BD[[#This Row],[Sunset Time (POA&lt;20 W/m2)]]-Plant_BD[[#This Row],[Sunrise Time (POA&gt;20 W/m2)]])*24,"")</f>
        <v>12.2</v>
      </c>
      <c r="L159" s="215"/>
      <c r="M159" s="215"/>
      <c r="N159" s="215"/>
      <c r="O159" s="215"/>
      <c r="P159" s="215"/>
      <c r="Q159" s="215"/>
      <c r="R159" s="215"/>
      <c r="S159" s="215"/>
      <c r="T159" s="216" t="s">
        <v>168</v>
      </c>
      <c r="U159" s="16">
        <f>IFERROR(_xlfn.XLOOKUP(Plant_BD[[#This Row],[Affected Equipment]],'Basic Data'!$A:$A,'Basic Data'!$B:$B),"")</f>
        <v>2694.6</v>
      </c>
      <c r="V159" s="217">
        <f>IFERROR(_xlfn.XLOOKUP(Plant_BD[[#This Row],[Affected Equipment]],'Basic Data'!$A:$A,'Basic Data'!$C:$C),"")</f>
        <v>0.33594733758057077</v>
      </c>
      <c r="W159" s="218" t="s">
        <v>311</v>
      </c>
      <c r="X159" s="218" t="s">
        <v>1077</v>
      </c>
      <c r="Y159" s="218"/>
      <c r="Z159" s="219" t="s">
        <v>1077</v>
      </c>
      <c r="AA159" s="220">
        <v>0.50069444444444444</v>
      </c>
      <c r="AB159" s="220"/>
      <c r="AC159" s="220"/>
      <c r="AD159" s="220">
        <v>0.51944444444444449</v>
      </c>
      <c r="AE159" s="221">
        <f>IF(Plant_BD[[#This Row],[Acknowledgement Time ]]="NA","",(Plant_BD[[#This Row],[Acknowledgement Time ]]-Plant_BD[[#This Row],[Fault Time]])*24)</f>
        <v>-12.016666666666666</v>
      </c>
      <c r="AF159" s="221">
        <f>IF(Plant_BD[[#This Row],[Work Start time on Fault]]="NA","",(Plant_BD[[#This Row],[Work Start time on Fault]]-Plant_BD[[#This Row],[Fault Time]])*24)</f>
        <v>-12.016666666666666</v>
      </c>
      <c r="AG159" s="17">
        <f>(Plant_BD[[#This Row],[Work Completion time on fault]]-Plant_BD[[#This Row],[Fault Time]])*24</f>
        <v>0.45000000000000107</v>
      </c>
      <c r="AH159" s="17">
        <f>IFERROR((Plant_BD[[#This Row],[Work Completion time on fault]]-Plant_BD[[#This Row],[Fault Time]])*24,"")</f>
        <v>0.45000000000000107</v>
      </c>
      <c r="AI159" s="222" t="s">
        <v>1074</v>
      </c>
      <c r="AJ159" s="6" t="s">
        <v>1069</v>
      </c>
      <c r="AK159" s="223">
        <f>IFERROR(Plant_BD[[#This Row],[Breakdown Time]]*Plant_BD[[#This Row],[Plant Equivalent Weightage]],"")</f>
        <v>0.15117630191125719</v>
      </c>
      <c r="AL159" s="6">
        <v>0.41</v>
      </c>
      <c r="AM159" s="221">
        <f>_xlfn.XLOOKUP($G159,'Modelling New'!$D:$D,'Modelling New'!$O:$O)*Plant_BD[[#This Row],[Lost PoA(kWh/m2)]]*Plant_BD[[#This Row],[DC Capacity Affected (kW)]]</f>
        <v>746.03408039139049</v>
      </c>
      <c r="AN159" s="6"/>
      <c r="AO159" s="6"/>
      <c r="AP159" s="224"/>
    </row>
    <row r="160" spans="1:42" x14ac:dyDescent="0.3">
      <c r="A160" s="171">
        <f t="shared" si="2"/>
        <v>159</v>
      </c>
      <c r="B160" s="200">
        <v>45753</v>
      </c>
      <c r="C160" s="212">
        <f>YEAR(Plant_BD[[#This Row],[Date]])+IF(MONTH(Plant_BD[[#This Row],[Date]])&gt;=4,1,0)</f>
        <v>2026</v>
      </c>
      <c r="D160" s="212">
        <f>YEAR(Plant_BD[[#This Row],[Date]])</f>
        <v>2025</v>
      </c>
      <c r="E160" s="77" t="s">
        <v>1070</v>
      </c>
      <c r="F160" s="77" t="s">
        <v>1070</v>
      </c>
      <c r="G160" s="213">
        <f>Plant_BD[[#This Row],[Date]]-DAY(Plant_BD[[#This Row],[Date]])+1</f>
        <v>45748</v>
      </c>
      <c r="H160" s="3">
        <f>DAY(EOMONTH(Plant_BD[[#This Row],[Month Year]],0))</f>
        <v>30</v>
      </c>
      <c r="I160" s="214">
        <f>_xlfn.XLOOKUP(Plant_BD[[#This Row],[Date]],'Raw Data'!$G:$G,'Raw Data'!$I:$I)</f>
        <v>0.26111111111111113</v>
      </c>
      <c r="J160" s="214">
        <f>_xlfn.XLOOKUP(Plant_BD[[#This Row],[Date]],'Raw Data'!$G:$G,'Raw Data'!$J:$J)</f>
        <v>0.76944444444444449</v>
      </c>
      <c r="K160" s="215">
        <f>IFERROR((Plant_BD[[#This Row],[Sunset Time (POA&lt;20 W/m2)]]-Plant_BD[[#This Row],[Sunrise Time (POA&gt;20 W/m2)]])*24,"")</f>
        <v>12.2</v>
      </c>
      <c r="L160" s="215"/>
      <c r="M160" s="215"/>
      <c r="N160" s="215"/>
      <c r="O160" s="215"/>
      <c r="P160" s="215"/>
      <c r="Q160" s="215"/>
      <c r="R160" s="215"/>
      <c r="S160" s="215"/>
      <c r="T160" s="216" t="s">
        <v>219</v>
      </c>
      <c r="U160" s="16">
        <f>IFERROR(_xlfn.XLOOKUP(Plant_BD[[#This Row],[Affected Equipment]],'Basic Data'!$A:$A,'Basic Data'!$B:$B),"")</f>
        <v>669.6</v>
      </c>
      <c r="V160" s="217">
        <f>IFERROR(_xlfn.XLOOKUP(Plant_BD[[#This Row],[Affected Equipment]],'Basic Data'!$A:$A,'Basic Data'!$C:$C),"")</f>
        <v>8.348190352703562E-2</v>
      </c>
      <c r="W160" s="218" t="s">
        <v>311</v>
      </c>
      <c r="X160" s="218" t="s">
        <v>1076</v>
      </c>
      <c r="Y160" s="218"/>
      <c r="Z160" s="219" t="s">
        <v>1076</v>
      </c>
      <c r="AA160" s="220">
        <v>0.51944444444444449</v>
      </c>
      <c r="AB160" s="220"/>
      <c r="AC160" s="220"/>
      <c r="AD160" s="220">
        <v>0.53402777777777777</v>
      </c>
      <c r="AE160" s="221">
        <f>IF(Plant_BD[[#This Row],[Acknowledgement Time ]]="NA","",(Plant_BD[[#This Row],[Acknowledgement Time ]]-Plant_BD[[#This Row],[Fault Time]])*24)</f>
        <v>-12.466666666666669</v>
      </c>
      <c r="AF160" s="221">
        <f>IF(Plant_BD[[#This Row],[Work Start time on Fault]]="NA","",(Plant_BD[[#This Row],[Work Start time on Fault]]-Plant_BD[[#This Row],[Fault Time]])*24)</f>
        <v>-12.466666666666669</v>
      </c>
      <c r="AG160" s="17">
        <f>(Plant_BD[[#This Row],[Work Completion time on fault]]-Plant_BD[[#This Row],[Fault Time]])*24</f>
        <v>0.34999999999999876</v>
      </c>
      <c r="AH160" s="17">
        <f>IFERROR((Plant_BD[[#This Row],[Work Completion time on fault]]-Plant_BD[[#This Row],[Fault Time]])*24,"")</f>
        <v>0.34999999999999876</v>
      </c>
      <c r="AI160" s="222" t="s">
        <v>1072</v>
      </c>
      <c r="AJ160" s="6" t="s">
        <v>1068</v>
      </c>
      <c r="AK160" s="223">
        <f>IFERROR(Plant_BD[[#This Row],[Breakdown Time]]*Plant_BD[[#This Row],[Plant Equivalent Weightage]],"")</f>
        <v>2.9218666234462363E-2</v>
      </c>
      <c r="AL160" s="6">
        <v>0.3</v>
      </c>
      <c r="AM160" s="221">
        <f>_xlfn.XLOOKUP($G160,'Modelling New'!$D:$D,'Modelling New'!$O:$O)*Plant_BD[[#This Row],[Lost PoA(kWh/m2)]]*Plant_BD[[#This Row],[DC Capacity Affected (kW)]]</f>
        <v>135.64919004134964</v>
      </c>
      <c r="AN160" s="6"/>
      <c r="AO160" s="6"/>
      <c r="AP160" s="224"/>
    </row>
    <row r="161" spans="1:42" x14ac:dyDescent="0.3">
      <c r="A161" s="171">
        <f t="shared" si="2"/>
        <v>160</v>
      </c>
      <c r="B161" s="200">
        <v>45753</v>
      </c>
      <c r="C161" s="212">
        <f>YEAR(Plant_BD[[#This Row],[Date]])+IF(MONTH(Plant_BD[[#This Row],[Date]])&gt;=4,1,0)</f>
        <v>2026</v>
      </c>
      <c r="D161" s="212">
        <f>YEAR(Plant_BD[[#This Row],[Date]])</f>
        <v>2025</v>
      </c>
      <c r="E161" s="77" t="s">
        <v>1070</v>
      </c>
      <c r="F161" s="77" t="s">
        <v>1070</v>
      </c>
      <c r="G161" s="213">
        <f>Plant_BD[[#This Row],[Date]]-DAY(Plant_BD[[#This Row],[Date]])+1</f>
        <v>45748</v>
      </c>
      <c r="H161" s="3">
        <f>DAY(EOMONTH(Plant_BD[[#This Row],[Month Year]],0))</f>
        <v>30</v>
      </c>
      <c r="I161" s="214">
        <f>_xlfn.XLOOKUP(Plant_BD[[#This Row],[Date]],'Raw Data'!$G:$G,'Raw Data'!$I:$I)</f>
        <v>0.26111111111111113</v>
      </c>
      <c r="J161" s="214">
        <f>_xlfn.XLOOKUP(Plant_BD[[#This Row],[Date]],'Raw Data'!$G:$G,'Raw Data'!$J:$J)</f>
        <v>0.76944444444444449</v>
      </c>
      <c r="K161" s="215">
        <f>IFERROR((Plant_BD[[#This Row],[Sunset Time (POA&lt;20 W/m2)]]-Plant_BD[[#This Row],[Sunrise Time (POA&gt;20 W/m2)]])*24,"")</f>
        <v>12.2</v>
      </c>
      <c r="L161" s="215"/>
      <c r="M161" s="215"/>
      <c r="N161" s="215"/>
      <c r="O161" s="215"/>
      <c r="P161" s="215"/>
      <c r="Q161" s="215"/>
      <c r="R161" s="215"/>
      <c r="S161" s="215"/>
      <c r="T161" s="216" t="s">
        <v>220</v>
      </c>
      <c r="U161" s="16">
        <f>IFERROR(_xlfn.XLOOKUP(Plant_BD[[#This Row],[Affected Equipment]],'Basic Data'!$A:$A,'Basic Data'!$B:$B),"")</f>
        <v>669.6</v>
      </c>
      <c r="V161" s="217">
        <f>IFERROR(_xlfn.XLOOKUP(Plant_BD[[#This Row],[Affected Equipment]],'Basic Data'!$A:$A,'Basic Data'!$C:$C),"")</f>
        <v>8.348190352703562E-2</v>
      </c>
      <c r="W161" s="218" t="s">
        <v>311</v>
      </c>
      <c r="X161" s="218" t="s">
        <v>1078</v>
      </c>
      <c r="Y161" s="218"/>
      <c r="Z161" s="219" t="s">
        <v>1078</v>
      </c>
      <c r="AA161" s="220">
        <v>0.51944444444444449</v>
      </c>
      <c r="AB161" s="220"/>
      <c r="AC161" s="220"/>
      <c r="AD161" s="220">
        <v>0.53402777777777777</v>
      </c>
      <c r="AE161" s="221">
        <f>IF(Plant_BD[[#This Row],[Acknowledgement Time ]]="NA","",(Plant_BD[[#This Row],[Acknowledgement Time ]]-Plant_BD[[#This Row],[Fault Time]])*24)</f>
        <v>-12.466666666666669</v>
      </c>
      <c r="AF161" s="221">
        <f>IF(Plant_BD[[#This Row],[Work Start time on Fault]]="NA","",(Plant_BD[[#This Row],[Work Start time on Fault]]-Plant_BD[[#This Row],[Fault Time]])*24)</f>
        <v>-12.466666666666669</v>
      </c>
      <c r="AG161" s="17">
        <f>(Plant_BD[[#This Row],[Work Completion time on fault]]-Plant_BD[[#This Row],[Fault Time]])*24</f>
        <v>0.34999999999999876</v>
      </c>
      <c r="AH161" s="17">
        <f>IFERROR((Plant_BD[[#This Row],[Work Completion time on fault]]-Plant_BD[[#This Row],[Fault Time]])*24,"")</f>
        <v>0.34999999999999876</v>
      </c>
      <c r="AI161" s="222" t="s">
        <v>1072</v>
      </c>
      <c r="AJ161" s="6" t="s">
        <v>1068</v>
      </c>
      <c r="AK161" s="223">
        <f>IFERROR(Plant_BD[[#This Row],[Breakdown Time]]*Plant_BD[[#This Row],[Plant Equivalent Weightage]],"")</f>
        <v>2.9218666234462363E-2</v>
      </c>
      <c r="AL161" s="6">
        <v>0.3</v>
      </c>
      <c r="AM161" s="221">
        <f>_xlfn.XLOOKUP($G161,'Modelling New'!$D:$D,'Modelling New'!$O:$O)*Plant_BD[[#This Row],[Lost PoA(kWh/m2)]]*Plant_BD[[#This Row],[DC Capacity Affected (kW)]]</f>
        <v>135.64919004134964</v>
      </c>
      <c r="AN161" s="6"/>
      <c r="AO161" s="6"/>
      <c r="AP161" s="224"/>
    </row>
    <row r="162" spans="1:42" x14ac:dyDescent="0.3">
      <c r="A162" s="171">
        <f t="shared" si="2"/>
        <v>161</v>
      </c>
      <c r="B162" s="200">
        <v>45753</v>
      </c>
      <c r="C162" s="212">
        <f>YEAR(Plant_BD[[#This Row],[Date]])+IF(MONTH(Plant_BD[[#This Row],[Date]])&gt;=4,1,0)</f>
        <v>2026</v>
      </c>
      <c r="D162" s="212">
        <f>YEAR(Plant_BD[[#This Row],[Date]])</f>
        <v>2025</v>
      </c>
      <c r="E162" s="77" t="s">
        <v>1070</v>
      </c>
      <c r="F162" s="77" t="s">
        <v>1070</v>
      </c>
      <c r="G162" s="213">
        <f>Plant_BD[[#This Row],[Date]]-DAY(Plant_BD[[#This Row],[Date]])+1</f>
        <v>45748</v>
      </c>
      <c r="H162" s="3">
        <f>DAY(EOMONTH(Plant_BD[[#This Row],[Month Year]],0))</f>
        <v>30</v>
      </c>
      <c r="I162" s="214">
        <f>_xlfn.XLOOKUP(Plant_BD[[#This Row],[Date]],'Raw Data'!$G:$G,'Raw Data'!$I:$I)</f>
        <v>0.26111111111111113</v>
      </c>
      <c r="J162" s="214">
        <f>_xlfn.XLOOKUP(Plant_BD[[#This Row],[Date]],'Raw Data'!$G:$G,'Raw Data'!$J:$J)</f>
        <v>0.76944444444444449</v>
      </c>
      <c r="K162" s="215">
        <f>IFERROR((Plant_BD[[#This Row],[Sunset Time (POA&lt;20 W/m2)]]-Plant_BD[[#This Row],[Sunrise Time (POA&gt;20 W/m2)]])*24,"")</f>
        <v>12.2</v>
      </c>
      <c r="L162" s="215"/>
      <c r="M162" s="215"/>
      <c r="N162" s="215"/>
      <c r="O162" s="215"/>
      <c r="P162" s="215"/>
      <c r="Q162" s="215"/>
      <c r="R162" s="215"/>
      <c r="S162" s="215"/>
      <c r="T162" s="216" t="s">
        <v>168</v>
      </c>
      <c r="U162" s="16">
        <f>IFERROR(_xlfn.XLOOKUP(Plant_BD[[#This Row],[Affected Equipment]],'Basic Data'!$A:$A,'Basic Data'!$B:$B),"")</f>
        <v>2694.6</v>
      </c>
      <c r="V162" s="217">
        <f>IFERROR(_xlfn.XLOOKUP(Plant_BD[[#This Row],[Affected Equipment]],'Basic Data'!$A:$A,'Basic Data'!$C:$C),"")</f>
        <v>0.33594733758057077</v>
      </c>
      <c r="W162" s="218" t="s">
        <v>311</v>
      </c>
      <c r="X162" s="218" t="s">
        <v>1077</v>
      </c>
      <c r="Y162" s="218"/>
      <c r="Z162" s="219" t="s">
        <v>1077</v>
      </c>
      <c r="AA162" s="220">
        <v>0.53402777777777777</v>
      </c>
      <c r="AB162" s="220"/>
      <c r="AC162" s="220"/>
      <c r="AD162" s="220">
        <v>0.54027777777777775</v>
      </c>
      <c r="AE162" s="221">
        <f>IF(Plant_BD[[#This Row],[Acknowledgement Time ]]="NA","",(Plant_BD[[#This Row],[Acknowledgement Time ]]-Plant_BD[[#This Row],[Fault Time]])*24)</f>
        <v>-12.816666666666666</v>
      </c>
      <c r="AF162" s="221">
        <f>IF(Plant_BD[[#This Row],[Work Start time on Fault]]="NA","",(Plant_BD[[#This Row],[Work Start time on Fault]]-Plant_BD[[#This Row],[Fault Time]])*24)</f>
        <v>-12.816666666666666</v>
      </c>
      <c r="AG162" s="17">
        <f>(Plant_BD[[#This Row],[Work Completion time on fault]]-Plant_BD[[#This Row],[Fault Time]])*24</f>
        <v>0.14999999999999947</v>
      </c>
      <c r="AH162" s="17">
        <f>IFERROR((Plant_BD[[#This Row],[Work Completion time on fault]]-Plant_BD[[#This Row],[Fault Time]])*24,"")</f>
        <v>0.14999999999999947</v>
      </c>
      <c r="AI162" s="222" t="s">
        <v>1074</v>
      </c>
      <c r="AJ162" s="6" t="s">
        <v>1069</v>
      </c>
      <c r="AK162" s="223">
        <f>IFERROR(Plant_BD[[#This Row],[Breakdown Time]]*Plant_BD[[#This Row],[Plant Equivalent Weightage]],"")</f>
        <v>5.0392100637085435E-2</v>
      </c>
      <c r="AL162" s="6">
        <v>0.05</v>
      </c>
      <c r="AM162" s="221">
        <f>_xlfn.XLOOKUP($G162,'Modelling New'!$D:$D,'Modelling New'!$O:$O)*Plant_BD[[#This Row],[Lost PoA(kWh/m2)]]*Plant_BD[[#This Row],[DC Capacity Affected (kW)]]</f>
        <v>90.979765901389086</v>
      </c>
      <c r="AN162" s="6"/>
      <c r="AO162" s="6"/>
      <c r="AP162" s="224"/>
    </row>
    <row r="163" spans="1:42" x14ac:dyDescent="0.3">
      <c r="A163" s="171">
        <f t="shared" si="2"/>
        <v>162</v>
      </c>
      <c r="B163" s="200">
        <v>45753</v>
      </c>
      <c r="C163" s="212">
        <f>YEAR(Plant_BD[[#This Row],[Date]])+IF(MONTH(Plant_BD[[#This Row],[Date]])&gt;=4,1,0)</f>
        <v>2026</v>
      </c>
      <c r="D163" s="212">
        <f>YEAR(Plant_BD[[#This Row],[Date]])</f>
        <v>2025</v>
      </c>
      <c r="E163" s="77" t="s">
        <v>1070</v>
      </c>
      <c r="F163" s="77" t="s">
        <v>1070</v>
      </c>
      <c r="G163" s="213">
        <f>Plant_BD[[#This Row],[Date]]-DAY(Plant_BD[[#This Row],[Date]])+1</f>
        <v>45748</v>
      </c>
      <c r="H163" s="3">
        <f>DAY(EOMONTH(Plant_BD[[#This Row],[Month Year]],0))</f>
        <v>30</v>
      </c>
      <c r="I163" s="214">
        <f>_xlfn.XLOOKUP(Plant_BD[[#This Row],[Date]],'Raw Data'!$G:$G,'Raw Data'!$I:$I)</f>
        <v>0.26111111111111113</v>
      </c>
      <c r="J163" s="214">
        <f>_xlfn.XLOOKUP(Plant_BD[[#This Row],[Date]],'Raw Data'!$G:$G,'Raw Data'!$J:$J)</f>
        <v>0.76944444444444449</v>
      </c>
      <c r="K163" s="215">
        <f>IFERROR((Plant_BD[[#This Row],[Sunset Time (POA&lt;20 W/m2)]]-Plant_BD[[#This Row],[Sunrise Time (POA&gt;20 W/m2)]])*24,"")</f>
        <v>12.2</v>
      </c>
      <c r="L163" s="215"/>
      <c r="M163" s="215"/>
      <c r="N163" s="215"/>
      <c r="O163" s="215"/>
      <c r="P163" s="215"/>
      <c r="Q163" s="215"/>
      <c r="R163" s="215"/>
      <c r="S163" s="215"/>
      <c r="T163" s="216" t="s">
        <v>219</v>
      </c>
      <c r="U163" s="16">
        <f>IFERROR(_xlfn.XLOOKUP(Plant_BD[[#This Row],[Affected Equipment]],'Basic Data'!$A:$A,'Basic Data'!$B:$B),"")</f>
        <v>669.6</v>
      </c>
      <c r="V163" s="217">
        <f>IFERROR(_xlfn.XLOOKUP(Plant_BD[[#This Row],[Affected Equipment]],'Basic Data'!$A:$A,'Basic Data'!$C:$C),"")</f>
        <v>8.348190352703562E-2</v>
      </c>
      <c r="W163" s="218" t="s">
        <v>311</v>
      </c>
      <c r="X163" s="218" t="s">
        <v>1076</v>
      </c>
      <c r="Y163" s="218"/>
      <c r="Z163" s="219" t="s">
        <v>1076</v>
      </c>
      <c r="AA163" s="220">
        <v>0.54027777777777775</v>
      </c>
      <c r="AB163" s="220"/>
      <c r="AC163" s="220"/>
      <c r="AD163" s="220">
        <v>0.55000000000000004</v>
      </c>
      <c r="AE163" s="221">
        <f>IF(Plant_BD[[#This Row],[Acknowledgement Time ]]="NA","",(Plant_BD[[#This Row],[Acknowledgement Time ]]-Plant_BD[[#This Row],[Fault Time]])*24)</f>
        <v>-12.966666666666665</v>
      </c>
      <c r="AF163" s="221">
        <f>IF(Plant_BD[[#This Row],[Work Start time on Fault]]="NA","",(Plant_BD[[#This Row],[Work Start time on Fault]]-Plant_BD[[#This Row],[Fault Time]])*24)</f>
        <v>-12.966666666666665</v>
      </c>
      <c r="AG163" s="17">
        <f>(Plant_BD[[#This Row],[Work Completion time on fault]]-Plant_BD[[#This Row],[Fault Time]])*24</f>
        <v>0.23333333333333517</v>
      </c>
      <c r="AH163" s="17">
        <f>IFERROR((Plant_BD[[#This Row],[Work Completion time on fault]]-Plant_BD[[#This Row],[Fault Time]])*24,"")</f>
        <v>0.23333333333333517</v>
      </c>
      <c r="AI163" s="222" t="s">
        <v>1072</v>
      </c>
      <c r="AJ163" s="6" t="s">
        <v>1068</v>
      </c>
      <c r="AK163" s="223">
        <f>IFERROR(Plant_BD[[#This Row],[Breakdown Time]]*Plant_BD[[#This Row],[Plant Equivalent Weightage]],"")</f>
        <v>1.947911082297513E-2</v>
      </c>
      <c r="AL163" s="6">
        <v>0.23</v>
      </c>
      <c r="AM163" s="221">
        <f>_xlfn.XLOOKUP($G163,'Modelling New'!$D:$D,'Modelling New'!$O:$O)*Plant_BD[[#This Row],[Lost PoA(kWh/m2)]]*Plant_BD[[#This Row],[DC Capacity Affected (kW)]]</f>
        <v>103.99771236503474</v>
      </c>
      <c r="AN163" s="6"/>
      <c r="AO163" s="6"/>
      <c r="AP163" s="224"/>
    </row>
    <row r="164" spans="1:42" x14ac:dyDescent="0.3">
      <c r="A164" s="171">
        <f t="shared" si="2"/>
        <v>163</v>
      </c>
      <c r="B164" s="200">
        <v>45753</v>
      </c>
      <c r="C164" s="212">
        <f>YEAR(Plant_BD[[#This Row],[Date]])+IF(MONTH(Plant_BD[[#This Row],[Date]])&gt;=4,1,0)</f>
        <v>2026</v>
      </c>
      <c r="D164" s="212">
        <f>YEAR(Plant_BD[[#This Row],[Date]])</f>
        <v>2025</v>
      </c>
      <c r="E164" s="77" t="s">
        <v>1070</v>
      </c>
      <c r="F164" s="77" t="s">
        <v>1070</v>
      </c>
      <c r="G164" s="213">
        <f>Plant_BD[[#This Row],[Date]]-DAY(Plant_BD[[#This Row],[Date]])+1</f>
        <v>45748</v>
      </c>
      <c r="H164" s="3">
        <f>DAY(EOMONTH(Plant_BD[[#This Row],[Month Year]],0))</f>
        <v>30</v>
      </c>
      <c r="I164" s="214">
        <f>_xlfn.XLOOKUP(Plant_BD[[#This Row],[Date]],'Raw Data'!$G:$G,'Raw Data'!$I:$I)</f>
        <v>0.26111111111111113</v>
      </c>
      <c r="J164" s="214">
        <f>_xlfn.XLOOKUP(Plant_BD[[#This Row],[Date]],'Raw Data'!$G:$G,'Raw Data'!$J:$J)</f>
        <v>0.76944444444444449</v>
      </c>
      <c r="K164" s="215">
        <f>IFERROR((Plant_BD[[#This Row],[Sunset Time (POA&lt;20 W/m2)]]-Plant_BD[[#This Row],[Sunrise Time (POA&gt;20 W/m2)]])*24,"")</f>
        <v>12.2</v>
      </c>
      <c r="L164" s="215"/>
      <c r="M164" s="215"/>
      <c r="N164" s="215"/>
      <c r="O164" s="215"/>
      <c r="P164" s="215"/>
      <c r="Q164" s="215"/>
      <c r="R164" s="215"/>
      <c r="S164" s="215"/>
      <c r="T164" s="216" t="s">
        <v>220</v>
      </c>
      <c r="U164" s="16">
        <f>IFERROR(_xlfn.XLOOKUP(Plant_BD[[#This Row],[Affected Equipment]],'Basic Data'!$A:$A,'Basic Data'!$B:$B),"")</f>
        <v>669.6</v>
      </c>
      <c r="V164" s="217">
        <f>IFERROR(_xlfn.XLOOKUP(Plant_BD[[#This Row],[Affected Equipment]],'Basic Data'!$A:$A,'Basic Data'!$C:$C),"")</f>
        <v>8.348190352703562E-2</v>
      </c>
      <c r="W164" s="218" t="s">
        <v>311</v>
      </c>
      <c r="X164" s="218" t="s">
        <v>1078</v>
      </c>
      <c r="Y164" s="218"/>
      <c r="Z164" s="219" t="s">
        <v>1078</v>
      </c>
      <c r="AA164" s="220">
        <v>0.54027777777777775</v>
      </c>
      <c r="AB164" s="220"/>
      <c r="AC164" s="220"/>
      <c r="AD164" s="220">
        <v>0.55000000000000004</v>
      </c>
      <c r="AE164" s="221">
        <f>IF(Plant_BD[[#This Row],[Acknowledgement Time ]]="NA","",(Plant_BD[[#This Row],[Acknowledgement Time ]]-Plant_BD[[#This Row],[Fault Time]])*24)</f>
        <v>-12.966666666666665</v>
      </c>
      <c r="AF164" s="221">
        <f>IF(Plant_BD[[#This Row],[Work Start time on Fault]]="NA","",(Plant_BD[[#This Row],[Work Start time on Fault]]-Plant_BD[[#This Row],[Fault Time]])*24)</f>
        <v>-12.966666666666665</v>
      </c>
      <c r="AG164" s="17">
        <f>(Plant_BD[[#This Row],[Work Completion time on fault]]-Plant_BD[[#This Row],[Fault Time]])*24</f>
        <v>0.23333333333333517</v>
      </c>
      <c r="AH164" s="17">
        <f>IFERROR((Plant_BD[[#This Row],[Work Completion time on fault]]-Plant_BD[[#This Row],[Fault Time]])*24,"")</f>
        <v>0.23333333333333517</v>
      </c>
      <c r="AI164" s="222" t="s">
        <v>1072</v>
      </c>
      <c r="AJ164" s="6" t="s">
        <v>1068</v>
      </c>
      <c r="AK164" s="223">
        <f>IFERROR(Plant_BD[[#This Row],[Breakdown Time]]*Plant_BD[[#This Row],[Plant Equivalent Weightage]],"")</f>
        <v>1.947911082297513E-2</v>
      </c>
      <c r="AL164" s="6">
        <v>0.23</v>
      </c>
      <c r="AM164" s="221">
        <f>_xlfn.XLOOKUP($G164,'Modelling New'!$D:$D,'Modelling New'!$O:$O)*Plant_BD[[#This Row],[Lost PoA(kWh/m2)]]*Plant_BD[[#This Row],[DC Capacity Affected (kW)]]</f>
        <v>103.99771236503474</v>
      </c>
      <c r="AN164" s="6"/>
      <c r="AO164" s="6"/>
      <c r="AP164" s="224"/>
    </row>
    <row r="165" spans="1:42" x14ac:dyDescent="0.3">
      <c r="A165" s="171">
        <f t="shared" si="2"/>
        <v>164</v>
      </c>
      <c r="B165" s="200">
        <v>45753</v>
      </c>
      <c r="C165" s="212">
        <f>YEAR(Plant_BD[[#This Row],[Date]])+IF(MONTH(Plant_BD[[#This Row],[Date]])&gt;=4,1,0)</f>
        <v>2026</v>
      </c>
      <c r="D165" s="212">
        <f>YEAR(Plant_BD[[#This Row],[Date]])</f>
        <v>2025</v>
      </c>
      <c r="E165" s="77" t="s">
        <v>1070</v>
      </c>
      <c r="F165" s="77" t="s">
        <v>1070</v>
      </c>
      <c r="G165" s="213">
        <f>Plant_BD[[#This Row],[Date]]-DAY(Plant_BD[[#This Row],[Date]])+1</f>
        <v>45748</v>
      </c>
      <c r="H165" s="3">
        <f>DAY(EOMONTH(Plant_BD[[#This Row],[Month Year]],0))</f>
        <v>30</v>
      </c>
      <c r="I165" s="214">
        <f>_xlfn.XLOOKUP(Plant_BD[[#This Row],[Date]],'Raw Data'!$G:$G,'Raw Data'!$I:$I)</f>
        <v>0.26111111111111113</v>
      </c>
      <c r="J165" s="214">
        <f>_xlfn.XLOOKUP(Plant_BD[[#This Row],[Date]],'Raw Data'!$G:$G,'Raw Data'!$J:$J)</f>
        <v>0.76944444444444449</v>
      </c>
      <c r="K165" s="215">
        <f>IFERROR((Plant_BD[[#This Row],[Sunset Time (POA&lt;20 W/m2)]]-Plant_BD[[#This Row],[Sunrise Time (POA&gt;20 W/m2)]])*24,"")</f>
        <v>12.2</v>
      </c>
      <c r="L165" s="215"/>
      <c r="M165" s="215"/>
      <c r="N165" s="215"/>
      <c r="O165" s="215"/>
      <c r="P165" s="215"/>
      <c r="Q165" s="215"/>
      <c r="R165" s="215"/>
      <c r="S165" s="215"/>
      <c r="T165" s="216" t="s">
        <v>168</v>
      </c>
      <c r="U165" s="16">
        <f>IFERROR(_xlfn.XLOOKUP(Plant_BD[[#This Row],[Affected Equipment]],'Basic Data'!$A:$A,'Basic Data'!$B:$B),"")</f>
        <v>2694.6</v>
      </c>
      <c r="V165" s="217">
        <f>IFERROR(_xlfn.XLOOKUP(Plant_BD[[#This Row],[Affected Equipment]],'Basic Data'!$A:$A,'Basic Data'!$C:$C),"")</f>
        <v>0.33594733758057077</v>
      </c>
      <c r="W165" s="218" t="s">
        <v>311</v>
      </c>
      <c r="X165" s="218" t="s">
        <v>1077</v>
      </c>
      <c r="Y165" s="218"/>
      <c r="Z165" s="219" t="s">
        <v>1077</v>
      </c>
      <c r="AA165" s="220">
        <v>0.55000000000000004</v>
      </c>
      <c r="AB165" s="220"/>
      <c r="AC165" s="220"/>
      <c r="AD165" s="220">
        <v>0.56111111111111112</v>
      </c>
      <c r="AE165" s="221">
        <f>IF(Plant_BD[[#This Row],[Acknowledgement Time ]]="NA","",(Plant_BD[[#This Row],[Acknowledgement Time ]]-Plant_BD[[#This Row],[Fault Time]])*24)</f>
        <v>-13.200000000000001</v>
      </c>
      <c r="AF165" s="221">
        <f>IF(Plant_BD[[#This Row],[Work Start time on Fault]]="NA","",(Plant_BD[[#This Row],[Work Start time on Fault]]-Plant_BD[[#This Row],[Fault Time]])*24)</f>
        <v>-13.200000000000001</v>
      </c>
      <c r="AG165" s="17">
        <f>(Plant_BD[[#This Row],[Work Completion time on fault]]-Plant_BD[[#This Row],[Fault Time]])*24</f>
        <v>0.26666666666666572</v>
      </c>
      <c r="AH165" s="17">
        <f>IFERROR((Plant_BD[[#This Row],[Work Completion time on fault]]-Plant_BD[[#This Row],[Fault Time]])*24,"")</f>
        <v>0.26666666666666572</v>
      </c>
      <c r="AI165" s="222" t="s">
        <v>1074</v>
      </c>
      <c r="AJ165" s="6" t="s">
        <v>1069</v>
      </c>
      <c r="AK165" s="223">
        <f>IFERROR(Plant_BD[[#This Row],[Breakdown Time]]*Plant_BD[[#This Row],[Plant Equivalent Weightage]],"")</f>
        <v>8.9585956688151891E-2</v>
      </c>
      <c r="AL165" s="6">
        <v>0.18</v>
      </c>
      <c r="AM165" s="221">
        <f>_xlfn.XLOOKUP($G165,'Modelling New'!$D:$D,'Modelling New'!$O:$O)*Plant_BD[[#This Row],[Lost PoA(kWh/m2)]]*Plant_BD[[#This Row],[DC Capacity Affected (kW)]]</f>
        <v>327.52715724500069</v>
      </c>
      <c r="AN165" s="6"/>
      <c r="AO165" s="6"/>
      <c r="AP165" s="224"/>
    </row>
    <row r="166" spans="1:42" x14ac:dyDescent="0.3">
      <c r="A166" s="171">
        <f t="shared" si="2"/>
        <v>165</v>
      </c>
      <c r="B166" s="200">
        <v>45753</v>
      </c>
      <c r="C166" s="212">
        <f>YEAR(Plant_BD[[#This Row],[Date]])+IF(MONTH(Plant_BD[[#This Row],[Date]])&gt;=4,1,0)</f>
        <v>2026</v>
      </c>
      <c r="D166" s="212">
        <f>YEAR(Plant_BD[[#This Row],[Date]])</f>
        <v>2025</v>
      </c>
      <c r="E166" s="77" t="s">
        <v>1070</v>
      </c>
      <c r="F166" s="77" t="s">
        <v>1070</v>
      </c>
      <c r="G166" s="213">
        <f>Plant_BD[[#This Row],[Date]]-DAY(Plant_BD[[#This Row],[Date]])+1</f>
        <v>45748</v>
      </c>
      <c r="H166" s="3">
        <f>DAY(EOMONTH(Plant_BD[[#This Row],[Month Year]],0))</f>
        <v>30</v>
      </c>
      <c r="I166" s="214">
        <f>_xlfn.XLOOKUP(Plant_BD[[#This Row],[Date]],'Raw Data'!$G:$G,'Raw Data'!$I:$I)</f>
        <v>0.26111111111111113</v>
      </c>
      <c r="J166" s="214">
        <f>_xlfn.XLOOKUP(Plant_BD[[#This Row],[Date]],'Raw Data'!$G:$G,'Raw Data'!$J:$J)</f>
        <v>0.76944444444444449</v>
      </c>
      <c r="K166" s="215">
        <f>IFERROR((Plant_BD[[#This Row],[Sunset Time (POA&lt;20 W/m2)]]-Plant_BD[[#This Row],[Sunrise Time (POA&gt;20 W/m2)]])*24,"")</f>
        <v>12.2</v>
      </c>
      <c r="L166" s="215"/>
      <c r="M166" s="215"/>
      <c r="N166" s="215"/>
      <c r="O166" s="215"/>
      <c r="P166" s="215"/>
      <c r="Q166" s="215"/>
      <c r="R166" s="215"/>
      <c r="S166" s="215"/>
      <c r="T166" s="216" t="s">
        <v>219</v>
      </c>
      <c r="U166" s="16">
        <f>IFERROR(_xlfn.XLOOKUP(Plant_BD[[#This Row],[Affected Equipment]],'Basic Data'!$A:$A,'Basic Data'!$B:$B),"")</f>
        <v>669.6</v>
      </c>
      <c r="V166" s="217">
        <f>IFERROR(_xlfn.XLOOKUP(Plant_BD[[#This Row],[Affected Equipment]],'Basic Data'!$A:$A,'Basic Data'!$C:$C),"")</f>
        <v>8.348190352703562E-2</v>
      </c>
      <c r="W166" s="218" t="s">
        <v>311</v>
      </c>
      <c r="X166" s="218" t="s">
        <v>1076</v>
      </c>
      <c r="Y166" s="218"/>
      <c r="Z166" s="219" t="s">
        <v>1076</v>
      </c>
      <c r="AA166" s="220">
        <v>0.56111111111111112</v>
      </c>
      <c r="AB166" s="220"/>
      <c r="AC166" s="220"/>
      <c r="AD166" s="220">
        <v>0.57013888888888886</v>
      </c>
      <c r="AE166" s="221">
        <f>IF(Plant_BD[[#This Row],[Acknowledgement Time ]]="NA","",(Plant_BD[[#This Row],[Acknowledgement Time ]]-Plant_BD[[#This Row],[Fault Time]])*24)</f>
        <v>-13.466666666666667</v>
      </c>
      <c r="AF166" s="221">
        <f>IF(Plant_BD[[#This Row],[Work Start time on Fault]]="NA","",(Plant_BD[[#This Row],[Work Start time on Fault]]-Plant_BD[[#This Row],[Fault Time]])*24)</f>
        <v>-13.466666666666667</v>
      </c>
      <c r="AG166" s="17">
        <f>(Plant_BD[[#This Row],[Work Completion time on fault]]-Plant_BD[[#This Row],[Fault Time]])*24</f>
        <v>0.2166666666666659</v>
      </c>
      <c r="AH166" s="17">
        <f>IFERROR((Plant_BD[[#This Row],[Work Completion time on fault]]-Plant_BD[[#This Row],[Fault Time]])*24,"")</f>
        <v>0.2166666666666659</v>
      </c>
      <c r="AI166" s="222" t="s">
        <v>1072</v>
      </c>
      <c r="AJ166" s="6" t="s">
        <v>1068</v>
      </c>
      <c r="AK166" s="223">
        <f>IFERROR(Plant_BD[[#This Row],[Breakdown Time]]*Plant_BD[[#This Row],[Plant Equivalent Weightage]],"")</f>
        <v>1.8087745764190987E-2</v>
      </c>
      <c r="AL166" s="6">
        <v>0.21</v>
      </c>
      <c r="AM166" s="221">
        <f>_xlfn.XLOOKUP($G166,'Modelling New'!$D:$D,'Modelling New'!$O:$O)*Plant_BD[[#This Row],[Lost PoA(kWh/m2)]]*Plant_BD[[#This Row],[DC Capacity Affected (kW)]]</f>
        <v>94.954433028944749</v>
      </c>
      <c r="AN166" s="6"/>
      <c r="AO166" s="6"/>
      <c r="AP166" s="224"/>
    </row>
    <row r="167" spans="1:42" x14ac:dyDescent="0.3">
      <c r="A167" s="171">
        <f t="shared" si="2"/>
        <v>166</v>
      </c>
      <c r="B167" s="200">
        <v>45753</v>
      </c>
      <c r="C167" s="212">
        <f>YEAR(Plant_BD[[#This Row],[Date]])+IF(MONTH(Plant_BD[[#This Row],[Date]])&gt;=4,1,0)</f>
        <v>2026</v>
      </c>
      <c r="D167" s="212">
        <f>YEAR(Plant_BD[[#This Row],[Date]])</f>
        <v>2025</v>
      </c>
      <c r="E167" s="77" t="s">
        <v>1070</v>
      </c>
      <c r="F167" s="77" t="s">
        <v>1070</v>
      </c>
      <c r="G167" s="213">
        <f>Plant_BD[[#This Row],[Date]]-DAY(Plant_BD[[#This Row],[Date]])+1</f>
        <v>45748</v>
      </c>
      <c r="H167" s="3">
        <f>DAY(EOMONTH(Plant_BD[[#This Row],[Month Year]],0))</f>
        <v>30</v>
      </c>
      <c r="I167" s="214">
        <f>_xlfn.XLOOKUP(Plant_BD[[#This Row],[Date]],'Raw Data'!$G:$G,'Raw Data'!$I:$I)</f>
        <v>0.26111111111111113</v>
      </c>
      <c r="J167" s="214">
        <f>_xlfn.XLOOKUP(Plant_BD[[#This Row],[Date]],'Raw Data'!$G:$G,'Raw Data'!$J:$J)</f>
        <v>0.76944444444444449</v>
      </c>
      <c r="K167" s="215">
        <f>IFERROR((Plant_BD[[#This Row],[Sunset Time (POA&lt;20 W/m2)]]-Plant_BD[[#This Row],[Sunrise Time (POA&gt;20 W/m2)]])*24,"")</f>
        <v>12.2</v>
      </c>
      <c r="L167" s="215"/>
      <c r="M167" s="215"/>
      <c r="N167" s="215"/>
      <c r="O167" s="215"/>
      <c r="P167" s="215"/>
      <c r="Q167" s="215"/>
      <c r="R167" s="215"/>
      <c r="S167" s="215"/>
      <c r="T167" s="216" t="s">
        <v>220</v>
      </c>
      <c r="U167" s="16">
        <f>IFERROR(_xlfn.XLOOKUP(Plant_BD[[#This Row],[Affected Equipment]],'Basic Data'!$A:$A,'Basic Data'!$B:$B),"")</f>
        <v>669.6</v>
      </c>
      <c r="V167" s="217">
        <f>IFERROR(_xlfn.XLOOKUP(Plant_BD[[#This Row],[Affected Equipment]],'Basic Data'!$A:$A,'Basic Data'!$C:$C),"")</f>
        <v>8.348190352703562E-2</v>
      </c>
      <c r="W167" s="218" t="s">
        <v>311</v>
      </c>
      <c r="X167" s="218" t="s">
        <v>1078</v>
      </c>
      <c r="Y167" s="218"/>
      <c r="Z167" s="219" t="s">
        <v>1078</v>
      </c>
      <c r="AA167" s="220">
        <v>0.56111111111111112</v>
      </c>
      <c r="AB167" s="220"/>
      <c r="AC167" s="220"/>
      <c r="AD167" s="220">
        <v>0.57013888888888886</v>
      </c>
      <c r="AE167" s="221">
        <f>IF(Plant_BD[[#This Row],[Acknowledgement Time ]]="NA","",(Plant_BD[[#This Row],[Acknowledgement Time ]]-Plant_BD[[#This Row],[Fault Time]])*24)</f>
        <v>-13.466666666666667</v>
      </c>
      <c r="AF167" s="221">
        <f>IF(Plant_BD[[#This Row],[Work Start time on Fault]]="NA","",(Plant_BD[[#This Row],[Work Start time on Fault]]-Plant_BD[[#This Row],[Fault Time]])*24)</f>
        <v>-13.466666666666667</v>
      </c>
      <c r="AG167" s="17">
        <f>(Plant_BD[[#This Row],[Work Completion time on fault]]-Plant_BD[[#This Row],[Fault Time]])*24</f>
        <v>0.2166666666666659</v>
      </c>
      <c r="AH167" s="17">
        <f>IFERROR((Plant_BD[[#This Row],[Work Completion time on fault]]-Plant_BD[[#This Row],[Fault Time]])*24,"")</f>
        <v>0.2166666666666659</v>
      </c>
      <c r="AI167" s="222" t="s">
        <v>1072</v>
      </c>
      <c r="AJ167" s="6" t="s">
        <v>1068</v>
      </c>
      <c r="AK167" s="223">
        <f>IFERROR(Plant_BD[[#This Row],[Breakdown Time]]*Plant_BD[[#This Row],[Plant Equivalent Weightage]],"")</f>
        <v>1.8087745764190987E-2</v>
      </c>
      <c r="AL167" s="6">
        <v>0.21</v>
      </c>
      <c r="AM167" s="221">
        <f>_xlfn.XLOOKUP($G167,'Modelling New'!$D:$D,'Modelling New'!$O:$O)*Plant_BD[[#This Row],[Lost PoA(kWh/m2)]]*Plant_BD[[#This Row],[DC Capacity Affected (kW)]]</f>
        <v>94.954433028944749</v>
      </c>
      <c r="AN167" s="6"/>
      <c r="AO167" s="6"/>
      <c r="AP167" s="224"/>
    </row>
    <row r="168" spans="1:42" x14ac:dyDescent="0.3">
      <c r="A168" s="171">
        <f t="shared" si="2"/>
        <v>167</v>
      </c>
      <c r="B168" s="200">
        <v>45753</v>
      </c>
      <c r="C168" s="212">
        <f>YEAR(Plant_BD[[#This Row],[Date]])+IF(MONTH(Plant_BD[[#This Row],[Date]])&gt;=4,1,0)</f>
        <v>2026</v>
      </c>
      <c r="D168" s="212">
        <f>YEAR(Plant_BD[[#This Row],[Date]])</f>
        <v>2025</v>
      </c>
      <c r="E168" s="77" t="s">
        <v>1070</v>
      </c>
      <c r="F168" s="77" t="s">
        <v>1070</v>
      </c>
      <c r="G168" s="213">
        <f>Plant_BD[[#This Row],[Date]]-DAY(Plant_BD[[#This Row],[Date]])+1</f>
        <v>45748</v>
      </c>
      <c r="H168" s="3">
        <f>DAY(EOMONTH(Plant_BD[[#This Row],[Month Year]],0))</f>
        <v>30</v>
      </c>
      <c r="I168" s="214">
        <f>_xlfn.XLOOKUP(Plant_BD[[#This Row],[Date]],'Raw Data'!$G:$G,'Raw Data'!$I:$I)</f>
        <v>0.26111111111111113</v>
      </c>
      <c r="J168" s="214">
        <f>_xlfn.XLOOKUP(Plant_BD[[#This Row],[Date]],'Raw Data'!$G:$G,'Raw Data'!$J:$J)</f>
        <v>0.76944444444444449</v>
      </c>
      <c r="K168" s="215">
        <f>IFERROR((Plant_BD[[#This Row],[Sunset Time (POA&lt;20 W/m2)]]-Plant_BD[[#This Row],[Sunrise Time (POA&gt;20 W/m2)]])*24,"")</f>
        <v>12.2</v>
      </c>
      <c r="L168" s="215"/>
      <c r="M168" s="215"/>
      <c r="N168" s="215"/>
      <c r="O168" s="215"/>
      <c r="P168" s="215"/>
      <c r="Q168" s="215"/>
      <c r="R168" s="215"/>
      <c r="S168" s="215"/>
      <c r="T168" s="216" t="s">
        <v>168</v>
      </c>
      <c r="U168" s="16">
        <f>IFERROR(_xlfn.XLOOKUP(Plant_BD[[#This Row],[Affected Equipment]],'Basic Data'!$A:$A,'Basic Data'!$B:$B),"")</f>
        <v>2694.6</v>
      </c>
      <c r="V168" s="217">
        <f>IFERROR(_xlfn.XLOOKUP(Plant_BD[[#This Row],[Affected Equipment]],'Basic Data'!$A:$A,'Basic Data'!$C:$C),"")</f>
        <v>0.33594733758057077</v>
      </c>
      <c r="W168" s="218" t="s">
        <v>311</v>
      </c>
      <c r="X168" s="218" t="s">
        <v>1077</v>
      </c>
      <c r="Y168" s="218"/>
      <c r="Z168" s="219" t="s">
        <v>1077</v>
      </c>
      <c r="AA168" s="220">
        <v>0.57013888888888886</v>
      </c>
      <c r="AB168" s="220"/>
      <c r="AC168" s="220"/>
      <c r="AD168" s="220">
        <v>0.57708333333333328</v>
      </c>
      <c r="AE168" s="221">
        <f>IF(Plant_BD[[#This Row],[Acknowledgement Time ]]="NA","",(Plant_BD[[#This Row],[Acknowledgement Time ]]-Plant_BD[[#This Row],[Fault Time]])*24)</f>
        <v>-13.683333333333334</v>
      </c>
      <c r="AF168" s="221">
        <f>IF(Plant_BD[[#This Row],[Work Start time on Fault]]="NA","",(Plant_BD[[#This Row],[Work Start time on Fault]]-Plant_BD[[#This Row],[Fault Time]])*24)</f>
        <v>-13.683333333333334</v>
      </c>
      <c r="AG168" s="17">
        <f>(Plant_BD[[#This Row],[Work Completion time on fault]]-Plant_BD[[#This Row],[Fault Time]])*24</f>
        <v>0.16666666666666607</v>
      </c>
      <c r="AH168" s="17">
        <f>IFERROR((Plant_BD[[#This Row],[Work Completion time on fault]]-Plant_BD[[#This Row],[Fault Time]])*24,"")</f>
        <v>0.16666666666666607</v>
      </c>
      <c r="AI168" s="222" t="s">
        <v>1074</v>
      </c>
      <c r="AJ168" s="6" t="s">
        <v>1069</v>
      </c>
      <c r="AK168" s="223">
        <f>IFERROR(Plant_BD[[#This Row],[Breakdown Time]]*Plant_BD[[#This Row],[Plant Equivalent Weightage]],"")</f>
        <v>5.5991222930094932E-2</v>
      </c>
      <c r="AL168" s="6">
        <v>0.17</v>
      </c>
      <c r="AM168" s="221">
        <f>_xlfn.XLOOKUP($G168,'Modelling New'!$D:$D,'Modelling New'!$O:$O)*Plant_BD[[#This Row],[Lost PoA(kWh/m2)]]*Plant_BD[[#This Row],[DC Capacity Affected (kW)]]</f>
        <v>309.3312040647229</v>
      </c>
      <c r="AN168" s="6"/>
      <c r="AO168" s="6"/>
      <c r="AP168" s="224"/>
    </row>
    <row r="169" spans="1:42" x14ac:dyDescent="0.3">
      <c r="A169" s="171">
        <f t="shared" si="2"/>
        <v>168</v>
      </c>
      <c r="B169" s="200">
        <v>45753</v>
      </c>
      <c r="C169" s="212">
        <f>YEAR(Plant_BD[[#This Row],[Date]])+IF(MONTH(Plant_BD[[#This Row],[Date]])&gt;=4,1,0)</f>
        <v>2026</v>
      </c>
      <c r="D169" s="212">
        <f>YEAR(Plant_BD[[#This Row],[Date]])</f>
        <v>2025</v>
      </c>
      <c r="E169" s="77" t="s">
        <v>1070</v>
      </c>
      <c r="F169" s="77" t="s">
        <v>1070</v>
      </c>
      <c r="G169" s="213">
        <f>Plant_BD[[#This Row],[Date]]-DAY(Plant_BD[[#This Row],[Date]])+1</f>
        <v>45748</v>
      </c>
      <c r="H169" s="3">
        <f>DAY(EOMONTH(Plant_BD[[#This Row],[Month Year]],0))</f>
        <v>30</v>
      </c>
      <c r="I169" s="214">
        <f>_xlfn.XLOOKUP(Plant_BD[[#This Row],[Date]],'Raw Data'!$G:$G,'Raw Data'!$I:$I)</f>
        <v>0.26111111111111113</v>
      </c>
      <c r="J169" s="214">
        <f>_xlfn.XLOOKUP(Plant_BD[[#This Row],[Date]],'Raw Data'!$G:$G,'Raw Data'!$J:$J)</f>
        <v>0.76944444444444449</v>
      </c>
      <c r="K169" s="215">
        <f>IFERROR((Plant_BD[[#This Row],[Sunset Time (POA&lt;20 W/m2)]]-Plant_BD[[#This Row],[Sunrise Time (POA&gt;20 W/m2)]])*24,"")</f>
        <v>12.2</v>
      </c>
      <c r="L169" s="215"/>
      <c r="M169" s="215"/>
      <c r="N169" s="215"/>
      <c r="O169" s="215"/>
      <c r="P169" s="215"/>
      <c r="Q169" s="215"/>
      <c r="R169" s="215"/>
      <c r="S169" s="215"/>
      <c r="T169" s="216" t="s">
        <v>219</v>
      </c>
      <c r="U169" s="16">
        <f>IFERROR(_xlfn.XLOOKUP(Plant_BD[[#This Row],[Affected Equipment]],'Basic Data'!$A:$A,'Basic Data'!$B:$B),"")</f>
        <v>669.6</v>
      </c>
      <c r="V169" s="217">
        <f>IFERROR(_xlfn.XLOOKUP(Plant_BD[[#This Row],[Affected Equipment]],'Basic Data'!$A:$A,'Basic Data'!$C:$C),"")</f>
        <v>8.348190352703562E-2</v>
      </c>
      <c r="W169" s="218" t="s">
        <v>311</v>
      </c>
      <c r="X169" s="218" t="s">
        <v>1076</v>
      </c>
      <c r="Y169" s="218"/>
      <c r="Z169" s="219" t="s">
        <v>1076</v>
      </c>
      <c r="AA169" s="220">
        <v>0.57708333333333328</v>
      </c>
      <c r="AB169" s="220"/>
      <c r="AC169" s="220"/>
      <c r="AD169" s="220">
        <v>0.59236111111111112</v>
      </c>
      <c r="AE169" s="221">
        <f>IF(Plant_BD[[#This Row],[Acknowledgement Time ]]="NA","",(Plant_BD[[#This Row],[Acknowledgement Time ]]-Plant_BD[[#This Row],[Fault Time]])*24)</f>
        <v>-13.849999999999998</v>
      </c>
      <c r="AF169" s="221">
        <f>IF(Plant_BD[[#This Row],[Work Start time on Fault]]="NA","",(Plant_BD[[#This Row],[Work Start time on Fault]]-Plant_BD[[#This Row],[Fault Time]])*24)</f>
        <v>-13.849999999999998</v>
      </c>
      <c r="AG169" s="17">
        <f>(Plant_BD[[#This Row],[Work Completion time on fault]]-Plant_BD[[#This Row],[Fault Time]])*24</f>
        <v>0.36666666666666803</v>
      </c>
      <c r="AH169" s="17">
        <f>IFERROR((Plant_BD[[#This Row],[Work Completion time on fault]]-Plant_BD[[#This Row],[Fault Time]])*24,"")</f>
        <v>0.36666666666666803</v>
      </c>
      <c r="AI169" s="222" t="s">
        <v>1072</v>
      </c>
      <c r="AJ169" s="6" t="s">
        <v>1068</v>
      </c>
      <c r="AK169" s="223">
        <f>IFERROR(Plant_BD[[#This Row],[Breakdown Time]]*Plant_BD[[#This Row],[Plant Equivalent Weightage]],"")</f>
        <v>3.0610031293246506E-2</v>
      </c>
      <c r="AL169" s="6">
        <v>0.35</v>
      </c>
      <c r="AM169" s="221">
        <f>_xlfn.XLOOKUP($G169,'Modelling New'!$D:$D,'Modelling New'!$O:$O)*Plant_BD[[#This Row],[Lost PoA(kWh/m2)]]*Plant_BD[[#This Row],[DC Capacity Affected (kW)]]</f>
        <v>158.2573883815746</v>
      </c>
      <c r="AN169" s="6"/>
      <c r="AO169" s="6"/>
      <c r="AP169" s="224"/>
    </row>
    <row r="170" spans="1:42" x14ac:dyDescent="0.3">
      <c r="A170" s="171">
        <f t="shared" si="2"/>
        <v>169</v>
      </c>
      <c r="B170" s="200">
        <v>45753</v>
      </c>
      <c r="C170" s="212">
        <f>YEAR(Plant_BD[[#This Row],[Date]])+IF(MONTH(Plant_BD[[#This Row],[Date]])&gt;=4,1,0)</f>
        <v>2026</v>
      </c>
      <c r="D170" s="212">
        <f>YEAR(Plant_BD[[#This Row],[Date]])</f>
        <v>2025</v>
      </c>
      <c r="E170" s="77" t="s">
        <v>1070</v>
      </c>
      <c r="F170" s="77" t="s">
        <v>1070</v>
      </c>
      <c r="G170" s="213">
        <f>Plant_BD[[#This Row],[Date]]-DAY(Plant_BD[[#This Row],[Date]])+1</f>
        <v>45748</v>
      </c>
      <c r="H170" s="3">
        <f>DAY(EOMONTH(Plant_BD[[#This Row],[Month Year]],0))</f>
        <v>30</v>
      </c>
      <c r="I170" s="214">
        <f>_xlfn.XLOOKUP(Plant_BD[[#This Row],[Date]],'Raw Data'!$G:$G,'Raw Data'!$I:$I)</f>
        <v>0.26111111111111113</v>
      </c>
      <c r="J170" s="214">
        <f>_xlfn.XLOOKUP(Plant_BD[[#This Row],[Date]],'Raw Data'!$G:$G,'Raw Data'!$J:$J)</f>
        <v>0.76944444444444449</v>
      </c>
      <c r="K170" s="215">
        <f>IFERROR((Plant_BD[[#This Row],[Sunset Time (POA&lt;20 W/m2)]]-Plant_BD[[#This Row],[Sunrise Time (POA&gt;20 W/m2)]])*24,"")</f>
        <v>12.2</v>
      </c>
      <c r="L170" s="215"/>
      <c r="M170" s="215"/>
      <c r="N170" s="215"/>
      <c r="O170" s="215"/>
      <c r="P170" s="215"/>
      <c r="Q170" s="215"/>
      <c r="R170" s="215"/>
      <c r="S170" s="215"/>
      <c r="T170" s="216" t="s">
        <v>220</v>
      </c>
      <c r="U170" s="16">
        <f>IFERROR(_xlfn.XLOOKUP(Plant_BD[[#This Row],[Affected Equipment]],'Basic Data'!$A:$A,'Basic Data'!$B:$B),"")</f>
        <v>669.6</v>
      </c>
      <c r="V170" s="217">
        <f>IFERROR(_xlfn.XLOOKUP(Plant_BD[[#This Row],[Affected Equipment]],'Basic Data'!$A:$A,'Basic Data'!$C:$C),"")</f>
        <v>8.348190352703562E-2</v>
      </c>
      <c r="W170" s="218" t="s">
        <v>311</v>
      </c>
      <c r="X170" s="218" t="s">
        <v>1078</v>
      </c>
      <c r="Y170" s="218"/>
      <c r="Z170" s="219" t="s">
        <v>1078</v>
      </c>
      <c r="AA170" s="220">
        <v>0.57708333333333328</v>
      </c>
      <c r="AB170" s="220"/>
      <c r="AC170" s="220"/>
      <c r="AD170" s="220">
        <v>0.59236111111111112</v>
      </c>
      <c r="AE170" s="221">
        <f>IF(Plant_BD[[#This Row],[Acknowledgement Time ]]="NA","",(Plant_BD[[#This Row],[Acknowledgement Time ]]-Plant_BD[[#This Row],[Fault Time]])*24)</f>
        <v>-13.849999999999998</v>
      </c>
      <c r="AF170" s="221">
        <f>IF(Plant_BD[[#This Row],[Work Start time on Fault]]="NA","",(Plant_BD[[#This Row],[Work Start time on Fault]]-Plant_BD[[#This Row],[Fault Time]])*24)</f>
        <v>-13.849999999999998</v>
      </c>
      <c r="AG170" s="17">
        <f>(Plant_BD[[#This Row],[Work Completion time on fault]]-Plant_BD[[#This Row],[Fault Time]])*24</f>
        <v>0.36666666666666803</v>
      </c>
      <c r="AH170" s="17">
        <f>IFERROR((Plant_BD[[#This Row],[Work Completion time on fault]]-Plant_BD[[#This Row],[Fault Time]])*24,"")</f>
        <v>0.36666666666666803</v>
      </c>
      <c r="AI170" s="222" t="s">
        <v>1072</v>
      </c>
      <c r="AJ170" s="6" t="s">
        <v>1068</v>
      </c>
      <c r="AK170" s="223">
        <f>IFERROR(Plant_BD[[#This Row],[Breakdown Time]]*Plant_BD[[#This Row],[Plant Equivalent Weightage]],"")</f>
        <v>3.0610031293246506E-2</v>
      </c>
      <c r="AL170" s="6">
        <v>0.35</v>
      </c>
      <c r="AM170" s="221">
        <f>_xlfn.XLOOKUP($G170,'Modelling New'!$D:$D,'Modelling New'!$O:$O)*Plant_BD[[#This Row],[Lost PoA(kWh/m2)]]*Plant_BD[[#This Row],[DC Capacity Affected (kW)]]</f>
        <v>158.2573883815746</v>
      </c>
      <c r="AN170" s="6"/>
      <c r="AO170" s="6"/>
      <c r="AP170" s="224"/>
    </row>
    <row r="171" spans="1:42" x14ac:dyDescent="0.3">
      <c r="A171" s="171">
        <f t="shared" si="2"/>
        <v>170</v>
      </c>
      <c r="B171" s="200">
        <v>45753</v>
      </c>
      <c r="C171" s="212">
        <f>YEAR(Plant_BD[[#This Row],[Date]])+IF(MONTH(Plant_BD[[#This Row],[Date]])&gt;=4,1,0)</f>
        <v>2026</v>
      </c>
      <c r="D171" s="212">
        <f>YEAR(Plant_BD[[#This Row],[Date]])</f>
        <v>2025</v>
      </c>
      <c r="E171" s="77" t="s">
        <v>1070</v>
      </c>
      <c r="F171" s="77" t="s">
        <v>1070</v>
      </c>
      <c r="G171" s="213">
        <f>Plant_BD[[#This Row],[Date]]-DAY(Plant_BD[[#This Row],[Date]])+1</f>
        <v>45748</v>
      </c>
      <c r="H171" s="3">
        <f>DAY(EOMONTH(Plant_BD[[#This Row],[Month Year]],0))</f>
        <v>30</v>
      </c>
      <c r="I171" s="214">
        <f>_xlfn.XLOOKUP(Plant_BD[[#This Row],[Date]],'Raw Data'!$G:$G,'Raw Data'!$I:$I)</f>
        <v>0.26111111111111113</v>
      </c>
      <c r="J171" s="214">
        <f>_xlfn.XLOOKUP(Plant_BD[[#This Row],[Date]],'Raw Data'!$G:$G,'Raw Data'!$J:$J)</f>
        <v>0.76944444444444449</v>
      </c>
      <c r="K171" s="215">
        <f>IFERROR((Plant_BD[[#This Row],[Sunset Time (POA&lt;20 W/m2)]]-Plant_BD[[#This Row],[Sunrise Time (POA&gt;20 W/m2)]])*24,"")</f>
        <v>12.2</v>
      </c>
      <c r="L171" s="215"/>
      <c r="M171" s="215"/>
      <c r="N171" s="215"/>
      <c r="O171" s="215"/>
      <c r="P171" s="215"/>
      <c r="Q171" s="215"/>
      <c r="R171" s="215"/>
      <c r="S171" s="215"/>
      <c r="T171" s="216" t="s">
        <v>168</v>
      </c>
      <c r="U171" s="16">
        <f>IFERROR(_xlfn.XLOOKUP(Plant_BD[[#This Row],[Affected Equipment]],'Basic Data'!$A:$A,'Basic Data'!$B:$B),"")</f>
        <v>2694.6</v>
      </c>
      <c r="V171" s="217">
        <f>IFERROR(_xlfn.XLOOKUP(Plant_BD[[#This Row],[Affected Equipment]],'Basic Data'!$A:$A,'Basic Data'!$C:$C),"")</f>
        <v>0.33594733758057077</v>
      </c>
      <c r="W171" s="218" t="s">
        <v>311</v>
      </c>
      <c r="X171" s="218" t="s">
        <v>1077</v>
      </c>
      <c r="Y171" s="218"/>
      <c r="Z171" s="219" t="s">
        <v>1077</v>
      </c>
      <c r="AA171" s="220">
        <v>0.59236111111111112</v>
      </c>
      <c r="AB171" s="220"/>
      <c r="AC171" s="220"/>
      <c r="AD171" s="220">
        <v>0.59861111111111109</v>
      </c>
      <c r="AE171" s="221">
        <f>IF(Plant_BD[[#This Row],[Acknowledgement Time ]]="NA","",(Plant_BD[[#This Row],[Acknowledgement Time ]]-Plant_BD[[#This Row],[Fault Time]])*24)</f>
        <v>-14.216666666666667</v>
      </c>
      <c r="AF171" s="221">
        <f>IF(Plant_BD[[#This Row],[Work Start time on Fault]]="NA","",(Plant_BD[[#This Row],[Work Start time on Fault]]-Plant_BD[[#This Row],[Fault Time]])*24)</f>
        <v>-14.216666666666667</v>
      </c>
      <c r="AG171" s="17">
        <f>(Plant_BD[[#This Row],[Work Completion time on fault]]-Plant_BD[[#This Row],[Fault Time]])*24</f>
        <v>0.14999999999999947</v>
      </c>
      <c r="AH171" s="17">
        <f>IFERROR((Plant_BD[[#This Row],[Work Completion time on fault]]-Plant_BD[[#This Row],[Fault Time]])*24,"")</f>
        <v>0.14999999999999947</v>
      </c>
      <c r="AI171" s="222" t="s">
        <v>1074</v>
      </c>
      <c r="AJ171" s="6" t="s">
        <v>1069</v>
      </c>
      <c r="AK171" s="223">
        <f>IFERROR(Plant_BD[[#This Row],[Breakdown Time]]*Plant_BD[[#This Row],[Plant Equivalent Weightage]],"")</f>
        <v>5.0392100637085435E-2</v>
      </c>
      <c r="AL171" s="6">
        <v>0.15</v>
      </c>
      <c r="AM171" s="221">
        <f>_xlfn.XLOOKUP($G171,'Modelling New'!$D:$D,'Modelling New'!$O:$O)*Plant_BD[[#This Row],[Lost PoA(kWh/m2)]]*Plant_BD[[#This Row],[DC Capacity Affected (kW)]]</f>
        <v>272.93929770416719</v>
      </c>
      <c r="AN171" s="6"/>
      <c r="AO171" s="6"/>
      <c r="AP171" s="224"/>
    </row>
    <row r="172" spans="1:42" x14ac:dyDescent="0.3">
      <c r="A172" s="171">
        <f t="shared" si="2"/>
        <v>171</v>
      </c>
      <c r="B172" s="200">
        <v>45753</v>
      </c>
      <c r="C172" s="212">
        <f>YEAR(Plant_BD[[#This Row],[Date]])+IF(MONTH(Plant_BD[[#This Row],[Date]])&gt;=4,1,0)</f>
        <v>2026</v>
      </c>
      <c r="D172" s="212">
        <f>YEAR(Plant_BD[[#This Row],[Date]])</f>
        <v>2025</v>
      </c>
      <c r="E172" s="77" t="s">
        <v>1070</v>
      </c>
      <c r="F172" s="77" t="s">
        <v>1070</v>
      </c>
      <c r="G172" s="213">
        <f>Plant_BD[[#This Row],[Date]]-DAY(Plant_BD[[#This Row],[Date]])+1</f>
        <v>45748</v>
      </c>
      <c r="H172" s="3">
        <f>DAY(EOMONTH(Plant_BD[[#This Row],[Month Year]],0))</f>
        <v>30</v>
      </c>
      <c r="I172" s="214">
        <f>_xlfn.XLOOKUP(Plant_BD[[#This Row],[Date]],'Raw Data'!$G:$G,'Raw Data'!$I:$I)</f>
        <v>0.26111111111111113</v>
      </c>
      <c r="J172" s="214">
        <f>_xlfn.XLOOKUP(Plant_BD[[#This Row],[Date]],'Raw Data'!$G:$G,'Raw Data'!$J:$J)</f>
        <v>0.76944444444444449</v>
      </c>
      <c r="K172" s="215">
        <f>IFERROR((Plant_BD[[#This Row],[Sunset Time (POA&lt;20 W/m2)]]-Plant_BD[[#This Row],[Sunrise Time (POA&gt;20 W/m2)]])*24,"")</f>
        <v>12.2</v>
      </c>
      <c r="L172" s="215"/>
      <c r="M172" s="215"/>
      <c r="N172" s="215"/>
      <c r="O172" s="215"/>
      <c r="P172" s="215"/>
      <c r="Q172" s="215"/>
      <c r="R172" s="215"/>
      <c r="S172" s="215"/>
      <c r="T172" s="216" t="s">
        <v>219</v>
      </c>
      <c r="U172" s="16">
        <f>IFERROR(_xlfn.XLOOKUP(Plant_BD[[#This Row],[Affected Equipment]],'Basic Data'!$A:$A,'Basic Data'!$B:$B),"")</f>
        <v>669.6</v>
      </c>
      <c r="V172" s="217">
        <f>IFERROR(_xlfn.XLOOKUP(Plant_BD[[#This Row],[Affected Equipment]],'Basic Data'!$A:$A,'Basic Data'!$C:$C),"")</f>
        <v>8.348190352703562E-2</v>
      </c>
      <c r="W172" s="218" t="s">
        <v>311</v>
      </c>
      <c r="X172" s="218" t="s">
        <v>1076</v>
      </c>
      <c r="Y172" s="218"/>
      <c r="Z172" s="219" t="s">
        <v>1076</v>
      </c>
      <c r="AA172" s="220">
        <v>0.59861111111111109</v>
      </c>
      <c r="AB172" s="220"/>
      <c r="AC172" s="220"/>
      <c r="AD172" s="220">
        <v>0.68888888888888888</v>
      </c>
      <c r="AE172" s="221">
        <f>IF(Plant_BD[[#This Row],[Acknowledgement Time ]]="NA","",(Plant_BD[[#This Row],[Acknowledgement Time ]]-Plant_BD[[#This Row],[Fault Time]])*24)</f>
        <v>-14.366666666666667</v>
      </c>
      <c r="AF172" s="221">
        <f>IF(Plant_BD[[#This Row],[Work Start time on Fault]]="NA","",(Plant_BD[[#This Row],[Work Start time on Fault]]-Plant_BD[[#This Row],[Fault Time]])*24)</f>
        <v>-14.366666666666667</v>
      </c>
      <c r="AG172" s="17">
        <f>(Plant_BD[[#This Row],[Work Completion time on fault]]-Plant_BD[[#This Row],[Fault Time]])*24</f>
        <v>2.166666666666667</v>
      </c>
      <c r="AH172" s="17">
        <f>IFERROR((Plant_BD[[#This Row],[Work Completion time on fault]]-Plant_BD[[#This Row],[Fault Time]])*24,"")</f>
        <v>2.166666666666667</v>
      </c>
      <c r="AI172" s="222" t="s">
        <v>1072</v>
      </c>
      <c r="AJ172" s="6" t="s">
        <v>1068</v>
      </c>
      <c r="AK172" s="223">
        <f>IFERROR(Plant_BD[[#This Row],[Breakdown Time]]*Plant_BD[[#This Row],[Plant Equivalent Weightage]],"")</f>
        <v>0.18087745764191054</v>
      </c>
      <c r="AL172" s="6">
        <v>1.48</v>
      </c>
      <c r="AM172" s="221">
        <f>_xlfn.XLOOKUP($G172,'Modelling New'!$D:$D,'Modelling New'!$O:$O)*Plant_BD[[#This Row],[Lost PoA(kWh/m2)]]*Plant_BD[[#This Row],[DC Capacity Affected (kW)]]</f>
        <v>669.20267087065827</v>
      </c>
      <c r="AN172" s="6"/>
      <c r="AO172" s="6"/>
      <c r="AP172" s="224"/>
    </row>
    <row r="173" spans="1:42" x14ac:dyDescent="0.3">
      <c r="A173" s="171">
        <f t="shared" si="2"/>
        <v>172</v>
      </c>
      <c r="B173" s="200">
        <v>45753</v>
      </c>
      <c r="C173" s="212">
        <f>YEAR(Plant_BD[[#This Row],[Date]])+IF(MONTH(Plant_BD[[#This Row],[Date]])&gt;=4,1,0)</f>
        <v>2026</v>
      </c>
      <c r="D173" s="212">
        <f>YEAR(Plant_BD[[#This Row],[Date]])</f>
        <v>2025</v>
      </c>
      <c r="E173" s="77" t="s">
        <v>1070</v>
      </c>
      <c r="F173" s="77" t="s">
        <v>1070</v>
      </c>
      <c r="G173" s="213">
        <f>Plant_BD[[#This Row],[Date]]-DAY(Plant_BD[[#This Row],[Date]])+1</f>
        <v>45748</v>
      </c>
      <c r="H173" s="3">
        <f>DAY(EOMONTH(Plant_BD[[#This Row],[Month Year]],0))</f>
        <v>30</v>
      </c>
      <c r="I173" s="214">
        <f>_xlfn.XLOOKUP(Plant_BD[[#This Row],[Date]],'Raw Data'!$G:$G,'Raw Data'!$I:$I)</f>
        <v>0.26111111111111113</v>
      </c>
      <c r="J173" s="214">
        <f>_xlfn.XLOOKUP(Plant_BD[[#This Row],[Date]],'Raw Data'!$G:$G,'Raw Data'!$J:$J)</f>
        <v>0.76944444444444449</v>
      </c>
      <c r="K173" s="215">
        <f>IFERROR((Plant_BD[[#This Row],[Sunset Time (POA&lt;20 W/m2)]]-Plant_BD[[#This Row],[Sunrise Time (POA&gt;20 W/m2)]])*24,"")</f>
        <v>12.2</v>
      </c>
      <c r="L173" s="215"/>
      <c r="M173" s="215"/>
      <c r="N173" s="215"/>
      <c r="O173" s="215"/>
      <c r="P173" s="215"/>
      <c r="Q173" s="215"/>
      <c r="R173" s="215"/>
      <c r="S173" s="215"/>
      <c r="T173" s="216" t="s">
        <v>220</v>
      </c>
      <c r="U173" s="16">
        <f>IFERROR(_xlfn.XLOOKUP(Plant_BD[[#This Row],[Affected Equipment]],'Basic Data'!$A:$A,'Basic Data'!$B:$B),"")</f>
        <v>669.6</v>
      </c>
      <c r="V173" s="217">
        <f>IFERROR(_xlfn.XLOOKUP(Plant_BD[[#This Row],[Affected Equipment]],'Basic Data'!$A:$A,'Basic Data'!$C:$C),"")</f>
        <v>8.348190352703562E-2</v>
      </c>
      <c r="W173" s="218" t="s">
        <v>311</v>
      </c>
      <c r="X173" s="218" t="s">
        <v>1078</v>
      </c>
      <c r="Y173" s="218"/>
      <c r="Z173" s="219" t="s">
        <v>1078</v>
      </c>
      <c r="AA173" s="220">
        <v>0.59861111111111109</v>
      </c>
      <c r="AB173" s="220"/>
      <c r="AC173" s="220"/>
      <c r="AD173" s="220">
        <v>0.68888888888888888</v>
      </c>
      <c r="AE173" s="221">
        <f>IF(Plant_BD[[#This Row],[Acknowledgement Time ]]="NA","",(Plant_BD[[#This Row],[Acknowledgement Time ]]-Plant_BD[[#This Row],[Fault Time]])*24)</f>
        <v>-14.366666666666667</v>
      </c>
      <c r="AF173" s="221">
        <f>IF(Plant_BD[[#This Row],[Work Start time on Fault]]="NA","",(Plant_BD[[#This Row],[Work Start time on Fault]]-Plant_BD[[#This Row],[Fault Time]])*24)</f>
        <v>-14.366666666666667</v>
      </c>
      <c r="AG173" s="17">
        <f>(Plant_BD[[#This Row],[Work Completion time on fault]]-Plant_BD[[#This Row],[Fault Time]])*24</f>
        <v>2.166666666666667</v>
      </c>
      <c r="AH173" s="17">
        <f>IFERROR((Plant_BD[[#This Row],[Work Completion time on fault]]-Plant_BD[[#This Row],[Fault Time]])*24,"")</f>
        <v>2.166666666666667</v>
      </c>
      <c r="AI173" s="222" t="s">
        <v>1072</v>
      </c>
      <c r="AJ173" s="6" t="s">
        <v>1068</v>
      </c>
      <c r="AK173" s="223">
        <f>IFERROR(Plant_BD[[#This Row],[Breakdown Time]]*Plant_BD[[#This Row],[Plant Equivalent Weightage]],"")</f>
        <v>0.18087745764191054</v>
      </c>
      <c r="AL173" s="6">
        <v>1.48</v>
      </c>
      <c r="AM173" s="221">
        <f>_xlfn.XLOOKUP($G173,'Modelling New'!$D:$D,'Modelling New'!$O:$O)*Plant_BD[[#This Row],[Lost PoA(kWh/m2)]]*Plant_BD[[#This Row],[DC Capacity Affected (kW)]]</f>
        <v>669.20267087065827</v>
      </c>
      <c r="AN173" s="6"/>
      <c r="AO173" s="6"/>
      <c r="AP173" s="224"/>
    </row>
    <row r="174" spans="1:42" x14ac:dyDescent="0.3">
      <c r="A174" s="171">
        <f t="shared" si="2"/>
        <v>173</v>
      </c>
      <c r="B174" s="200">
        <v>45753</v>
      </c>
      <c r="C174" s="212">
        <f>YEAR(Plant_BD[[#This Row],[Date]])+IF(MONTH(Plant_BD[[#This Row],[Date]])&gt;=4,1,0)</f>
        <v>2026</v>
      </c>
      <c r="D174" s="212">
        <f>YEAR(Plant_BD[[#This Row],[Date]])</f>
        <v>2025</v>
      </c>
      <c r="E174" s="77" t="s">
        <v>1070</v>
      </c>
      <c r="F174" s="77" t="s">
        <v>1070</v>
      </c>
      <c r="G174" s="213">
        <f>Plant_BD[[#This Row],[Date]]-DAY(Plant_BD[[#This Row],[Date]])+1</f>
        <v>45748</v>
      </c>
      <c r="H174" s="3">
        <f>DAY(EOMONTH(Plant_BD[[#This Row],[Month Year]],0))</f>
        <v>30</v>
      </c>
      <c r="I174" s="214">
        <f>_xlfn.XLOOKUP(Plant_BD[[#This Row],[Date]],'Raw Data'!$G:$G,'Raw Data'!$I:$I)</f>
        <v>0.26111111111111113</v>
      </c>
      <c r="J174" s="214">
        <f>_xlfn.XLOOKUP(Plant_BD[[#This Row],[Date]],'Raw Data'!$G:$G,'Raw Data'!$J:$J)</f>
        <v>0.76944444444444449</v>
      </c>
      <c r="K174" s="215">
        <f>IFERROR((Plant_BD[[#This Row],[Sunset Time (POA&lt;20 W/m2)]]-Plant_BD[[#This Row],[Sunrise Time (POA&gt;20 W/m2)]])*24,"")</f>
        <v>12.2</v>
      </c>
      <c r="L174" s="215"/>
      <c r="M174" s="215"/>
      <c r="N174" s="215"/>
      <c r="O174" s="215"/>
      <c r="P174" s="215"/>
      <c r="Q174" s="215"/>
      <c r="R174" s="215"/>
      <c r="S174" s="215"/>
      <c r="T174" s="216" t="s">
        <v>168</v>
      </c>
      <c r="U174" s="16">
        <f>IFERROR(_xlfn.XLOOKUP(Plant_BD[[#This Row],[Affected Equipment]],'Basic Data'!$A:$A,'Basic Data'!$B:$B),"")</f>
        <v>2694.6</v>
      </c>
      <c r="V174" s="217">
        <f>IFERROR(_xlfn.XLOOKUP(Plant_BD[[#This Row],[Affected Equipment]],'Basic Data'!$A:$A,'Basic Data'!$C:$C),"")</f>
        <v>0.33594733758057077</v>
      </c>
      <c r="W174" s="218" t="s">
        <v>311</v>
      </c>
      <c r="X174" s="218" t="s">
        <v>1079</v>
      </c>
      <c r="Y174" s="218"/>
      <c r="Z174" s="219" t="s">
        <v>1079</v>
      </c>
      <c r="AA174" s="220">
        <v>0.68888888888888888</v>
      </c>
      <c r="AB174" s="220"/>
      <c r="AC174" s="220"/>
      <c r="AD174" s="220">
        <v>0.69027777777777777</v>
      </c>
      <c r="AE174" s="221">
        <f>IF(Plant_BD[[#This Row],[Acknowledgement Time ]]="NA","",(Plant_BD[[#This Row],[Acknowledgement Time ]]-Plant_BD[[#This Row],[Fault Time]])*24)</f>
        <v>-16.533333333333331</v>
      </c>
      <c r="AF174" s="221">
        <f>IF(Plant_BD[[#This Row],[Work Start time on Fault]]="NA","",(Plant_BD[[#This Row],[Work Start time on Fault]]-Plant_BD[[#This Row],[Fault Time]])*24)</f>
        <v>-16.533333333333331</v>
      </c>
      <c r="AG174" s="17">
        <f>(Plant_BD[[#This Row],[Work Completion time on fault]]-Plant_BD[[#This Row],[Fault Time]])*24</f>
        <v>3.3333333333333215E-2</v>
      </c>
      <c r="AH174" s="17">
        <f>IFERROR((Plant_BD[[#This Row],[Work Completion time on fault]]-Plant_BD[[#This Row],[Fault Time]])*24,"")</f>
        <v>3.3333333333333215E-2</v>
      </c>
      <c r="AI174" s="222" t="s">
        <v>1074</v>
      </c>
      <c r="AJ174" s="6" t="s">
        <v>1069</v>
      </c>
      <c r="AK174" s="223">
        <f>IFERROR(Plant_BD[[#This Row],[Breakdown Time]]*Plant_BD[[#This Row],[Plant Equivalent Weightage]],"")</f>
        <v>1.1198244586018986E-2</v>
      </c>
      <c r="AL174" s="6">
        <v>0.02</v>
      </c>
      <c r="AM174" s="221">
        <f>_xlfn.XLOOKUP($G174,'Modelling New'!$D:$D,'Modelling New'!$O:$O)*Plant_BD[[#This Row],[Lost PoA(kWh/m2)]]*Plant_BD[[#This Row],[DC Capacity Affected (kW)]]</f>
        <v>36.39190636055563</v>
      </c>
      <c r="AN174" s="6"/>
      <c r="AO174" s="6"/>
      <c r="AP174" s="224"/>
    </row>
    <row r="175" spans="1:42" x14ac:dyDescent="0.3">
      <c r="A175" s="171">
        <f t="shared" si="2"/>
        <v>174</v>
      </c>
      <c r="B175" s="200">
        <v>45753</v>
      </c>
      <c r="C175" s="212">
        <f>YEAR(Plant_BD[[#This Row],[Date]])+IF(MONTH(Plant_BD[[#This Row],[Date]])&gt;=4,1,0)</f>
        <v>2026</v>
      </c>
      <c r="D175" s="212">
        <f>YEAR(Plant_BD[[#This Row],[Date]])</f>
        <v>2025</v>
      </c>
      <c r="E175" s="77" t="s">
        <v>1070</v>
      </c>
      <c r="F175" s="77" t="s">
        <v>1070</v>
      </c>
      <c r="G175" s="213">
        <f>Plant_BD[[#This Row],[Date]]-DAY(Plant_BD[[#This Row],[Date]])+1</f>
        <v>45748</v>
      </c>
      <c r="H175" s="3">
        <f>DAY(EOMONTH(Plant_BD[[#This Row],[Month Year]],0))</f>
        <v>30</v>
      </c>
      <c r="I175" s="214">
        <f>_xlfn.XLOOKUP(Plant_BD[[#This Row],[Date]],'Raw Data'!$G:$G,'Raw Data'!$I:$I)</f>
        <v>0.26111111111111113</v>
      </c>
      <c r="J175" s="214">
        <f>_xlfn.XLOOKUP(Plant_BD[[#This Row],[Date]],'Raw Data'!$G:$G,'Raw Data'!$J:$J)</f>
        <v>0.76944444444444449</v>
      </c>
      <c r="K175" s="215">
        <f>IFERROR((Plant_BD[[#This Row],[Sunset Time (POA&lt;20 W/m2)]]-Plant_BD[[#This Row],[Sunrise Time (POA&gt;20 W/m2)]])*24,"")</f>
        <v>12.2</v>
      </c>
      <c r="L175" s="215"/>
      <c r="M175" s="215"/>
      <c r="N175" s="215"/>
      <c r="O175" s="215"/>
      <c r="P175" s="215"/>
      <c r="Q175" s="215"/>
      <c r="R175" s="215"/>
      <c r="S175" s="215"/>
      <c r="T175" s="216" t="s">
        <v>219</v>
      </c>
      <c r="U175" s="16">
        <f>IFERROR(_xlfn.XLOOKUP(Plant_BD[[#This Row],[Affected Equipment]],'Basic Data'!$A:$A,'Basic Data'!$B:$B),"")</f>
        <v>669.6</v>
      </c>
      <c r="V175" s="217">
        <f>IFERROR(_xlfn.XLOOKUP(Plant_BD[[#This Row],[Affected Equipment]],'Basic Data'!$A:$A,'Basic Data'!$C:$C),"")</f>
        <v>8.348190352703562E-2</v>
      </c>
      <c r="W175" s="218" t="s">
        <v>311</v>
      </c>
      <c r="X175" s="218" t="s">
        <v>1076</v>
      </c>
      <c r="Y175" s="218"/>
      <c r="Z175" s="219" t="s">
        <v>1076</v>
      </c>
      <c r="AA175" s="220">
        <v>0.69027777777777777</v>
      </c>
      <c r="AB175" s="220"/>
      <c r="AC175" s="220"/>
      <c r="AD175" s="220">
        <v>0.76944444444444449</v>
      </c>
      <c r="AE175" s="221">
        <f>IF(Plant_BD[[#This Row],[Acknowledgement Time ]]="NA","",(Plant_BD[[#This Row],[Acknowledgement Time ]]-Plant_BD[[#This Row],[Fault Time]])*24)</f>
        <v>-16.566666666666666</v>
      </c>
      <c r="AF175" s="221">
        <f>IF(Plant_BD[[#This Row],[Work Start time on Fault]]="NA","",(Plant_BD[[#This Row],[Work Start time on Fault]]-Plant_BD[[#This Row],[Fault Time]])*24)</f>
        <v>-16.566666666666666</v>
      </c>
      <c r="AG175" s="17">
        <f>(Plant_BD[[#This Row],[Work Completion time on fault]]-Plant_BD[[#This Row],[Fault Time]])*24</f>
        <v>1.9000000000000012</v>
      </c>
      <c r="AH175" s="17">
        <f>IFERROR((Plant_BD[[#This Row],[Work Completion time on fault]]-Plant_BD[[#This Row],[Fault Time]])*24,"")</f>
        <v>1.9000000000000012</v>
      </c>
      <c r="AI175" s="222" t="s">
        <v>1072</v>
      </c>
      <c r="AJ175" s="6" t="s">
        <v>1068</v>
      </c>
      <c r="AK175" s="223">
        <f>IFERROR(Plant_BD[[#This Row],[Breakdown Time]]*Plant_BD[[#This Row],[Plant Equivalent Weightage]],"")</f>
        <v>0.15861561670136778</v>
      </c>
      <c r="AL175" s="6">
        <v>0.35</v>
      </c>
      <c r="AM175" s="221">
        <f>_xlfn.XLOOKUP($G175,'Modelling New'!$D:$D,'Modelling New'!$O:$O)*Plant_BD[[#This Row],[Lost PoA(kWh/m2)]]*Plant_BD[[#This Row],[DC Capacity Affected (kW)]]</f>
        <v>158.2573883815746</v>
      </c>
      <c r="AN175" s="6"/>
      <c r="AO175" s="6"/>
      <c r="AP175" s="224"/>
    </row>
    <row r="176" spans="1:42" x14ac:dyDescent="0.3">
      <c r="A176" s="171">
        <f t="shared" si="2"/>
        <v>175</v>
      </c>
      <c r="B176" s="200">
        <v>45754</v>
      </c>
      <c r="C176" s="212">
        <f>YEAR(Plant_BD[[#This Row],[Date]])+IF(MONTH(Plant_BD[[#This Row],[Date]])&gt;=4,1,0)</f>
        <v>2026</v>
      </c>
      <c r="D176" s="212">
        <f>YEAR(Plant_BD[[#This Row],[Date]])</f>
        <v>2025</v>
      </c>
      <c r="E176" s="77" t="s">
        <v>1070</v>
      </c>
      <c r="F176" s="77" t="s">
        <v>1070</v>
      </c>
      <c r="G176" s="213">
        <f>Plant_BD[[#This Row],[Date]]-DAY(Plant_BD[[#This Row],[Date]])+1</f>
        <v>45748</v>
      </c>
      <c r="H176" s="3">
        <f>DAY(EOMONTH(Plant_BD[[#This Row],[Month Year]],0))</f>
        <v>30</v>
      </c>
      <c r="I176" s="214">
        <f>_xlfn.XLOOKUP(Plant_BD[[#This Row],[Date]],'Raw Data'!$G:$G,'Raw Data'!$I:$I)</f>
        <v>0.25833333333333336</v>
      </c>
      <c r="J176" s="214">
        <f>_xlfn.XLOOKUP(Plant_BD[[#This Row],[Date]],'Raw Data'!$G:$G,'Raw Data'!$J:$J)</f>
        <v>0.76875000000000004</v>
      </c>
      <c r="K176" s="215">
        <f>IFERROR((Plant_BD[[#This Row],[Sunset Time (POA&lt;20 W/m2)]]-Plant_BD[[#This Row],[Sunrise Time (POA&gt;20 W/m2)]])*24,"")</f>
        <v>12.250000000000002</v>
      </c>
      <c r="L176" s="215"/>
      <c r="M176" s="215"/>
      <c r="N176" s="215"/>
      <c r="O176" s="215"/>
      <c r="P176" s="215"/>
      <c r="Q176" s="215"/>
      <c r="R176" s="215"/>
      <c r="S176" s="215"/>
      <c r="T176" s="216" t="s">
        <v>226</v>
      </c>
      <c r="U176" s="16">
        <f>IFERROR(_xlfn.XLOOKUP(Plant_BD[[#This Row],[Affected Equipment]],'Basic Data'!$A:$A,'Basic Data'!$B:$B),"")</f>
        <v>658.8</v>
      </c>
      <c r="V176" s="217">
        <f>IFERROR(_xlfn.XLOOKUP(Plant_BD[[#This Row],[Affected Equipment]],'Basic Data'!$A:$A,'Basic Data'!$C:$C),"")</f>
        <v>8.2135421212083434E-2</v>
      </c>
      <c r="W176" s="218" t="s">
        <v>291</v>
      </c>
      <c r="X176" s="218" t="s">
        <v>1075</v>
      </c>
      <c r="Y176" s="218"/>
      <c r="Z176" s="219" t="s">
        <v>1075</v>
      </c>
      <c r="AA176" s="220">
        <v>0.25833333333333336</v>
      </c>
      <c r="AB176" s="220"/>
      <c r="AC176" s="220"/>
      <c r="AD176" s="220">
        <v>0.52500000000000002</v>
      </c>
      <c r="AE176" s="221">
        <f>IF(Plant_BD[[#This Row],[Acknowledgement Time ]]="NA","",(Plant_BD[[#This Row],[Acknowledgement Time ]]-Plant_BD[[#This Row],[Fault Time]])*24)</f>
        <v>-6.2000000000000011</v>
      </c>
      <c r="AF176" s="221">
        <f>IF(Plant_BD[[#This Row],[Work Start time on Fault]]="NA","",(Plant_BD[[#This Row],[Work Start time on Fault]]-Plant_BD[[#This Row],[Fault Time]])*24)</f>
        <v>-6.2000000000000011</v>
      </c>
      <c r="AG176" s="17">
        <f>(Plant_BD[[#This Row],[Work Completion time on fault]]-Plant_BD[[#This Row],[Fault Time]])*24</f>
        <v>6.4</v>
      </c>
      <c r="AH176" s="17">
        <f>IFERROR((Plant_BD[[#This Row],[Work Completion time on fault]]-Plant_BD[[#This Row],[Fault Time]])*24,"")</f>
        <v>6.4</v>
      </c>
      <c r="AI176" s="222" t="s">
        <v>1072</v>
      </c>
      <c r="AJ176" s="6" t="s">
        <v>1068</v>
      </c>
      <c r="AK176" s="223">
        <f>IFERROR(Plant_BD[[#This Row],[Breakdown Time]]*Plant_BD[[#This Row],[Plant Equivalent Weightage]],"")</f>
        <v>0.52566669575733405</v>
      </c>
      <c r="AL176" s="6">
        <v>2.93</v>
      </c>
      <c r="AM176" s="221">
        <f>_xlfn.XLOOKUP($G176,'Modelling New'!$D:$D,'Modelling New'!$O:$O)*Plant_BD[[#This Row],[Lost PoA(kWh/m2)]]*Plant_BD[[#This Row],[DC Capacity Affected (kW)]]</f>
        <v>1303.4720288220658</v>
      </c>
      <c r="AN176" s="6"/>
      <c r="AO176" s="6"/>
      <c r="AP176" s="224"/>
    </row>
    <row r="177" spans="1:42" x14ac:dyDescent="0.3">
      <c r="A177" s="171">
        <f t="shared" si="2"/>
        <v>176</v>
      </c>
      <c r="B177" s="200">
        <v>45754</v>
      </c>
      <c r="C177" s="212">
        <f>YEAR(Plant_BD[[#This Row],[Date]])+IF(MONTH(Plant_BD[[#This Row],[Date]])&gt;=4,1,0)</f>
        <v>2026</v>
      </c>
      <c r="D177" s="212">
        <f>YEAR(Plant_BD[[#This Row],[Date]])</f>
        <v>2025</v>
      </c>
      <c r="E177" s="77" t="s">
        <v>1070</v>
      </c>
      <c r="F177" s="77" t="s">
        <v>1070</v>
      </c>
      <c r="G177" s="213">
        <f>Plant_BD[[#This Row],[Date]]-DAY(Plant_BD[[#This Row],[Date]])+1</f>
        <v>45748</v>
      </c>
      <c r="H177" s="3">
        <f>DAY(EOMONTH(Plant_BD[[#This Row],[Month Year]],0))</f>
        <v>30</v>
      </c>
      <c r="I177" s="214">
        <f>_xlfn.XLOOKUP(Plant_BD[[#This Row],[Date]],'Raw Data'!$G:$G,'Raw Data'!$I:$I)</f>
        <v>0.25833333333333336</v>
      </c>
      <c r="J177" s="214">
        <f>_xlfn.XLOOKUP(Plant_BD[[#This Row],[Date]],'Raw Data'!$G:$G,'Raw Data'!$J:$J)</f>
        <v>0.76875000000000004</v>
      </c>
      <c r="K177" s="215">
        <f>IFERROR((Plant_BD[[#This Row],[Sunset Time (POA&lt;20 W/m2)]]-Plant_BD[[#This Row],[Sunrise Time (POA&gt;20 W/m2)]])*24,"")</f>
        <v>12.250000000000002</v>
      </c>
      <c r="L177" s="215"/>
      <c r="M177" s="215"/>
      <c r="N177" s="215"/>
      <c r="O177" s="215"/>
      <c r="P177" s="215"/>
      <c r="Q177" s="215"/>
      <c r="R177" s="215"/>
      <c r="S177" s="215"/>
      <c r="T177" s="216" t="s">
        <v>169</v>
      </c>
      <c r="U177" s="16">
        <f>IFERROR(_xlfn.XLOOKUP(Plant_BD[[#This Row],[Affected Equipment]],'Basic Data'!$A:$A,'Basic Data'!$B:$B),"")</f>
        <v>2630.8</v>
      </c>
      <c r="V177" s="217">
        <f>IFERROR(_xlfn.XLOOKUP(Plant_BD[[#This Row],[Affected Equipment]],'Basic Data'!$A:$A,'Basic Data'!$C:$C),"")</f>
        <v>0.32799311797927916</v>
      </c>
      <c r="W177" s="218" t="s">
        <v>291</v>
      </c>
      <c r="X177" s="218" t="s">
        <v>1173</v>
      </c>
      <c r="Y177" s="218"/>
      <c r="Z177" s="219" t="s">
        <v>1173</v>
      </c>
      <c r="AA177" s="220">
        <v>0.52500000000000002</v>
      </c>
      <c r="AB177" s="220"/>
      <c r="AC177" s="220"/>
      <c r="AD177" s="220">
        <v>0.54861111111111116</v>
      </c>
      <c r="AE177" s="221">
        <f>IF(Plant_BD[[#This Row],[Acknowledgement Time ]]="NA","",(Plant_BD[[#This Row],[Acknowledgement Time ]]-Plant_BD[[#This Row],[Fault Time]])*24)</f>
        <v>-12.600000000000001</v>
      </c>
      <c r="AF177" s="221">
        <f>IF(Plant_BD[[#This Row],[Work Start time on Fault]]="NA","",(Plant_BD[[#This Row],[Work Start time on Fault]]-Plant_BD[[#This Row],[Fault Time]])*24)</f>
        <v>-12.600000000000001</v>
      </c>
      <c r="AG177" s="17">
        <f>(Plant_BD[[#This Row],[Work Completion time on fault]]-Plant_BD[[#This Row],[Fault Time]])*24</f>
        <v>0.56666666666666732</v>
      </c>
      <c r="AH177" s="17">
        <f>IFERROR((Plant_BD[[#This Row],[Work Completion time on fault]]-Plant_BD[[#This Row],[Fault Time]])*24,"")</f>
        <v>0.56666666666666732</v>
      </c>
      <c r="AI177" s="222" t="s">
        <v>1074</v>
      </c>
      <c r="AJ177" s="6" t="s">
        <v>1069</v>
      </c>
      <c r="AK177" s="223">
        <f>IFERROR(Plant_BD[[#This Row],[Breakdown Time]]*Plant_BD[[#This Row],[Plant Equivalent Weightage]],"")</f>
        <v>0.18586276685492506</v>
      </c>
      <c r="AL177" s="6">
        <v>0.45</v>
      </c>
      <c r="AM177" s="221">
        <f>_xlfn.XLOOKUP($G177,'Modelling New'!$D:$D,'Modelling New'!$O:$O)*Plant_BD[[#This Row],[Lost PoA(kWh/m2)]]*Plant_BD[[#This Row],[DC Capacity Affected (kW)]]</f>
        <v>799.4307552884917</v>
      </c>
      <c r="AN177" s="6"/>
      <c r="AO177" s="6"/>
      <c r="AP177" s="224"/>
    </row>
    <row r="178" spans="1:42" x14ac:dyDescent="0.3">
      <c r="A178" s="171">
        <f t="shared" si="2"/>
        <v>177</v>
      </c>
      <c r="B178" s="200">
        <v>45754</v>
      </c>
      <c r="C178" s="212">
        <f>YEAR(Plant_BD[[#This Row],[Date]])+IF(MONTH(Plant_BD[[#This Row],[Date]])&gt;=4,1,0)</f>
        <v>2026</v>
      </c>
      <c r="D178" s="212">
        <f>YEAR(Plant_BD[[#This Row],[Date]])</f>
        <v>2025</v>
      </c>
      <c r="E178" s="77" t="s">
        <v>1070</v>
      </c>
      <c r="F178" s="77" t="s">
        <v>1070</v>
      </c>
      <c r="G178" s="213">
        <f>Plant_BD[[#This Row],[Date]]-DAY(Plant_BD[[#This Row],[Date]])+1</f>
        <v>45748</v>
      </c>
      <c r="H178" s="3">
        <f>DAY(EOMONTH(Plant_BD[[#This Row],[Month Year]],0))</f>
        <v>30</v>
      </c>
      <c r="I178" s="214">
        <f>_xlfn.XLOOKUP(Plant_BD[[#This Row],[Date]],'Raw Data'!$G:$G,'Raw Data'!$I:$I)</f>
        <v>0.25833333333333336</v>
      </c>
      <c r="J178" s="214">
        <f>_xlfn.XLOOKUP(Plant_BD[[#This Row],[Date]],'Raw Data'!$G:$G,'Raw Data'!$J:$J)</f>
        <v>0.76875000000000004</v>
      </c>
      <c r="K178" s="215">
        <f>IFERROR((Plant_BD[[#This Row],[Sunset Time (POA&lt;20 W/m2)]]-Plant_BD[[#This Row],[Sunrise Time (POA&gt;20 W/m2)]])*24,"")</f>
        <v>12.250000000000002</v>
      </c>
      <c r="L178" s="215"/>
      <c r="M178" s="215"/>
      <c r="N178" s="215"/>
      <c r="O178" s="215"/>
      <c r="P178" s="215"/>
      <c r="Q178" s="215"/>
      <c r="R178" s="215"/>
      <c r="S178" s="215"/>
      <c r="T178" s="216" t="s">
        <v>219</v>
      </c>
      <c r="U178" s="16">
        <f>IFERROR(_xlfn.XLOOKUP(Plant_BD[[#This Row],[Affected Equipment]],'Basic Data'!$A:$A,'Basic Data'!$B:$B),"")</f>
        <v>669.6</v>
      </c>
      <c r="V178" s="217">
        <f>IFERROR(_xlfn.XLOOKUP(Plant_BD[[#This Row],[Affected Equipment]],'Basic Data'!$A:$A,'Basic Data'!$C:$C),"")</f>
        <v>8.348190352703562E-2</v>
      </c>
      <c r="W178" s="218" t="s">
        <v>311</v>
      </c>
      <c r="X178" s="218" t="s">
        <v>1076</v>
      </c>
      <c r="Y178" s="218"/>
      <c r="Z178" s="219" t="s">
        <v>1076</v>
      </c>
      <c r="AA178" s="220">
        <v>0.25833333333333336</v>
      </c>
      <c r="AB178" s="220"/>
      <c r="AC178" s="220"/>
      <c r="AD178" s="220">
        <v>0.41944444444444445</v>
      </c>
      <c r="AE178" s="221">
        <f>IF(Plant_BD[[#This Row],[Acknowledgement Time ]]="NA","",(Plant_BD[[#This Row],[Acknowledgement Time ]]-Plant_BD[[#This Row],[Fault Time]])*24)</f>
        <v>-6.2000000000000011</v>
      </c>
      <c r="AF178" s="221">
        <f>IF(Plant_BD[[#This Row],[Work Start time on Fault]]="NA","",(Plant_BD[[#This Row],[Work Start time on Fault]]-Plant_BD[[#This Row],[Fault Time]])*24)</f>
        <v>-6.2000000000000011</v>
      </c>
      <c r="AG178" s="17">
        <f>(Plant_BD[[#This Row],[Work Completion time on fault]]-Plant_BD[[#This Row],[Fault Time]])*24</f>
        <v>3.8666666666666663</v>
      </c>
      <c r="AH178" s="17">
        <f>IFERROR((Plant_BD[[#This Row],[Work Completion time on fault]]-Plant_BD[[#This Row],[Fault Time]])*24,"")</f>
        <v>3.8666666666666663</v>
      </c>
      <c r="AI178" s="222" t="s">
        <v>1072</v>
      </c>
      <c r="AJ178" s="6" t="s">
        <v>1068</v>
      </c>
      <c r="AK178" s="223">
        <f>IFERROR(Plant_BD[[#This Row],[Breakdown Time]]*Plant_BD[[#This Row],[Plant Equivalent Weightage]],"")</f>
        <v>0.322796693637871</v>
      </c>
      <c r="AL178" s="6">
        <v>0.67</v>
      </c>
      <c r="AM178" s="221">
        <f>_xlfn.XLOOKUP($G178,'Modelling New'!$D:$D,'Modelling New'!$O:$O)*Plant_BD[[#This Row],[Lost PoA(kWh/m2)]]*Plant_BD[[#This Row],[DC Capacity Affected (kW)]]</f>
        <v>302.94985775901426</v>
      </c>
      <c r="AN178" s="6"/>
      <c r="AO178" s="6"/>
      <c r="AP178" s="224"/>
    </row>
    <row r="179" spans="1:42" x14ac:dyDescent="0.3">
      <c r="A179" s="171">
        <f t="shared" si="2"/>
        <v>178</v>
      </c>
      <c r="B179" s="200">
        <v>45754</v>
      </c>
      <c r="C179" s="212">
        <f>YEAR(Plant_BD[[#This Row],[Date]])+IF(MONTH(Plant_BD[[#This Row],[Date]])&gt;=4,1,0)</f>
        <v>2026</v>
      </c>
      <c r="D179" s="212">
        <f>YEAR(Plant_BD[[#This Row],[Date]])</f>
        <v>2025</v>
      </c>
      <c r="E179" s="77" t="s">
        <v>1070</v>
      </c>
      <c r="F179" s="77" t="s">
        <v>1070</v>
      </c>
      <c r="G179" s="213">
        <f>Plant_BD[[#This Row],[Date]]-DAY(Plant_BD[[#This Row],[Date]])+1</f>
        <v>45748</v>
      </c>
      <c r="H179" s="3">
        <f>DAY(EOMONTH(Plant_BD[[#This Row],[Month Year]],0))</f>
        <v>30</v>
      </c>
      <c r="I179" s="214">
        <f>_xlfn.XLOOKUP(Plant_BD[[#This Row],[Date]],'Raw Data'!$G:$G,'Raw Data'!$I:$I)</f>
        <v>0.25833333333333336</v>
      </c>
      <c r="J179" s="214">
        <f>_xlfn.XLOOKUP(Plant_BD[[#This Row],[Date]],'Raw Data'!$G:$G,'Raw Data'!$J:$J)</f>
        <v>0.76875000000000004</v>
      </c>
      <c r="K179" s="215">
        <f>IFERROR((Plant_BD[[#This Row],[Sunset Time (POA&lt;20 W/m2)]]-Plant_BD[[#This Row],[Sunrise Time (POA&gt;20 W/m2)]])*24,"")</f>
        <v>12.250000000000002</v>
      </c>
      <c r="L179" s="215"/>
      <c r="M179" s="215"/>
      <c r="N179" s="215"/>
      <c r="O179" s="215"/>
      <c r="P179" s="215"/>
      <c r="Q179" s="215"/>
      <c r="R179" s="215"/>
      <c r="S179" s="215"/>
      <c r="T179" s="216" t="s">
        <v>168</v>
      </c>
      <c r="U179" s="16">
        <f>IFERROR(_xlfn.XLOOKUP(Plant_BD[[#This Row],[Affected Equipment]],'Basic Data'!$A:$A,'Basic Data'!$B:$B),"")</f>
        <v>2694.6</v>
      </c>
      <c r="V179" s="217">
        <f>IFERROR(_xlfn.XLOOKUP(Plant_BD[[#This Row],[Affected Equipment]],'Basic Data'!$A:$A,'Basic Data'!$C:$C),"")</f>
        <v>0.33594733758057077</v>
      </c>
      <c r="W179" s="218" t="s">
        <v>311</v>
      </c>
      <c r="X179" s="218" t="s">
        <v>1077</v>
      </c>
      <c r="Y179" s="218"/>
      <c r="Z179" s="219" t="s">
        <v>1077</v>
      </c>
      <c r="AA179" s="220">
        <v>0.41944444444444445</v>
      </c>
      <c r="AB179" s="220"/>
      <c r="AC179" s="220"/>
      <c r="AD179" s="220">
        <v>0.42569444444444443</v>
      </c>
      <c r="AE179" s="221">
        <f>IF(Plant_BD[[#This Row],[Acknowledgement Time ]]="NA","",(Plant_BD[[#This Row],[Acknowledgement Time ]]-Plant_BD[[#This Row],[Fault Time]])*24)</f>
        <v>-10.066666666666666</v>
      </c>
      <c r="AF179" s="221">
        <f>IF(Plant_BD[[#This Row],[Work Start time on Fault]]="NA","",(Plant_BD[[#This Row],[Work Start time on Fault]]-Plant_BD[[#This Row],[Fault Time]])*24)</f>
        <v>-10.066666666666666</v>
      </c>
      <c r="AG179" s="17">
        <f>(Plant_BD[[#This Row],[Work Completion time on fault]]-Plant_BD[[#This Row],[Fault Time]])*24</f>
        <v>0.14999999999999947</v>
      </c>
      <c r="AH179" s="17">
        <f>IFERROR((Plant_BD[[#This Row],[Work Completion time on fault]]-Plant_BD[[#This Row],[Fault Time]])*24,"")</f>
        <v>0.14999999999999947</v>
      </c>
      <c r="AI179" s="222" t="s">
        <v>1074</v>
      </c>
      <c r="AJ179" s="6" t="s">
        <v>1069</v>
      </c>
      <c r="AK179" s="223">
        <f>IFERROR(Plant_BD[[#This Row],[Breakdown Time]]*Plant_BD[[#This Row],[Plant Equivalent Weightage]],"")</f>
        <v>5.0392100637085435E-2</v>
      </c>
      <c r="AL179" s="6">
        <v>0.12</v>
      </c>
      <c r="AM179" s="221">
        <f>_xlfn.XLOOKUP($G179,'Modelling New'!$D:$D,'Modelling New'!$O:$O)*Plant_BD[[#This Row],[Lost PoA(kWh/m2)]]*Plant_BD[[#This Row],[DC Capacity Affected (kW)]]</f>
        <v>218.3514381633338</v>
      </c>
      <c r="AN179" s="6"/>
      <c r="AO179" s="6"/>
      <c r="AP179" s="224"/>
    </row>
    <row r="180" spans="1:42" x14ac:dyDescent="0.3">
      <c r="A180" s="171">
        <f t="shared" si="2"/>
        <v>179</v>
      </c>
      <c r="B180" s="200">
        <v>45754</v>
      </c>
      <c r="C180" s="212">
        <f>YEAR(Plant_BD[[#This Row],[Date]])+IF(MONTH(Plant_BD[[#This Row],[Date]])&gt;=4,1,0)</f>
        <v>2026</v>
      </c>
      <c r="D180" s="212">
        <f>YEAR(Plant_BD[[#This Row],[Date]])</f>
        <v>2025</v>
      </c>
      <c r="E180" s="77" t="s">
        <v>1070</v>
      </c>
      <c r="F180" s="77" t="s">
        <v>1070</v>
      </c>
      <c r="G180" s="213">
        <f>Plant_BD[[#This Row],[Date]]-DAY(Plant_BD[[#This Row],[Date]])+1</f>
        <v>45748</v>
      </c>
      <c r="H180" s="3">
        <f>DAY(EOMONTH(Plant_BD[[#This Row],[Month Year]],0))</f>
        <v>30</v>
      </c>
      <c r="I180" s="214">
        <f>_xlfn.XLOOKUP(Plant_BD[[#This Row],[Date]],'Raw Data'!$G:$G,'Raw Data'!$I:$I)</f>
        <v>0.25833333333333336</v>
      </c>
      <c r="J180" s="214">
        <f>_xlfn.XLOOKUP(Plant_BD[[#This Row],[Date]],'Raw Data'!$G:$G,'Raw Data'!$J:$J)</f>
        <v>0.76875000000000004</v>
      </c>
      <c r="K180" s="215">
        <f>IFERROR((Plant_BD[[#This Row],[Sunset Time (POA&lt;20 W/m2)]]-Plant_BD[[#This Row],[Sunrise Time (POA&gt;20 W/m2)]])*24,"")</f>
        <v>12.250000000000002</v>
      </c>
      <c r="L180" s="215"/>
      <c r="M180" s="215"/>
      <c r="N180" s="215"/>
      <c r="O180" s="215"/>
      <c r="P180" s="215"/>
      <c r="Q180" s="215"/>
      <c r="R180" s="215"/>
      <c r="S180" s="215"/>
      <c r="T180" s="216" t="s">
        <v>219</v>
      </c>
      <c r="U180" s="16">
        <f>IFERROR(_xlfn.XLOOKUP(Plant_BD[[#This Row],[Affected Equipment]],'Basic Data'!$A:$A,'Basic Data'!$B:$B),"")</f>
        <v>669.6</v>
      </c>
      <c r="V180" s="217">
        <f>IFERROR(_xlfn.XLOOKUP(Plant_BD[[#This Row],[Affected Equipment]],'Basic Data'!$A:$A,'Basic Data'!$C:$C),"")</f>
        <v>8.348190352703562E-2</v>
      </c>
      <c r="W180" s="218" t="s">
        <v>311</v>
      </c>
      <c r="X180" s="218" t="s">
        <v>1076</v>
      </c>
      <c r="Y180" s="218"/>
      <c r="Z180" s="219" t="s">
        <v>1076</v>
      </c>
      <c r="AA180" s="220">
        <v>0.42569444444444443</v>
      </c>
      <c r="AB180" s="220"/>
      <c r="AC180" s="220"/>
      <c r="AD180" s="220">
        <v>0.44513888888888886</v>
      </c>
      <c r="AE180" s="221">
        <f>IF(Plant_BD[[#This Row],[Acknowledgement Time ]]="NA","",(Plant_BD[[#This Row],[Acknowledgement Time ]]-Plant_BD[[#This Row],[Fault Time]])*24)</f>
        <v>-10.216666666666667</v>
      </c>
      <c r="AF180" s="221">
        <f>IF(Plant_BD[[#This Row],[Work Start time on Fault]]="NA","",(Plant_BD[[#This Row],[Work Start time on Fault]]-Plant_BD[[#This Row],[Fault Time]])*24)</f>
        <v>-10.216666666666667</v>
      </c>
      <c r="AG180" s="17">
        <f>(Plant_BD[[#This Row],[Work Completion time on fault]]-Plant_BD[[#This Row],[Fault Time]])*24</f>
        <v>0.46666666666666634</v>
      </c>
      <c r="AH180" s="17">
        <f>IFERROR((Plant_BD[[#This Row],[Work Completion time on fault]]-Plant_BD[[#This Row],[Fault Time]])*24,"")</f>
        <v>0.46666666666666634</v>
      </c>
      <c r="AI180" s="222" t="s">
        <v>1072</v>
      </c>
      <c r="AJ180" s="6" t="s">
        <v>1068</v>
      </c>
      <c r="AK180" s="223">
        <f>IFERROR(Plant_BD[[#This Row],[Breakdown Time]]*Plant_BD[[#This Row],[Plant Equivalent Weightage]],"")</f>
        <v>3.8958221645949927E-2</v>
      </c>
      <c r="AL180" s="6">
        <v>0.37</v>
      </c>
      <c r="AM180" s="221">
        <f>_xlfn.XLOOKUP($G180,'Modelling New'!$D:$D,'Modelling New'!$O:$O)*Plant_BD[[#This Row],[Lost PoA(kWh/m2)]]*Plant_BD[[#This Row],[DC Capacity Affected (kW)]]</f>
        <v>167.30066771766457</v>
      </c>
      <c r="AN180" s="6"/>
      <c r="AO180" s="6"/>
      <c r="AP180" s="224"/>
    </row>
    <row r="181" spans="1:42" x14ac:dyDescent="0.3">
      <c r="A181" s="171">
        <f t="shared" si="2"/>
        <v>180</v>
      </c>
      <c r="B181" s="200">
        <v>45754</v>
      </c>
      <c r="C181" s="212">
        <f>YEAR(Plant_BD[[#This Row],[Date]])+IF(MONTH(Plant_BD[[#This Row],[Date]])&gt;=4,1,0)</f>
        <v>2026</v>
      </c>
      <c r="D181" s="212">
        <f>YEAR(Plant_BD[[#This Row],[Date]])</f>
        <v>2025</v>
      </c>
      <c r="E181" s="77" t="s">
        <v>1070</v>
      </c>
      <c r="F181" s="77" t="s">
        <v>1070</v>
      </c>
      <c r="G181" s="213">
        <f>Plant_BD[[#This Row],[Date]]-DAY(Plant_BD[[#This Row],[Date]])+1</f>
        <v>45748</v>
      </c>
      <c r="H181" s="3">
        <f>DAY(EOMONTH(Plant_BD[[#This Row],[Month Year]],0))</f>
        <v>30</v>
      </c>
      <c r="I181" s="214">
        <f>_xlfn.XLOOKUP(Plant_BD[[#This Row],[Date]],'Raw Data'!$G:$G,'Raw Data'!$I:$I)</f>
        <v>0.25833333333333336</v>
      </c>
      <c r="J181" s="214">
        <f>_xlfn.XLOOKUP(Plant_BD[[#This Row],[Date]],'Raw Data'!$G:$G,'Raw Data'!$J:$J)</f>
        <v>0.76875000000000004</v>
      </c>
      <c r="K181" s="215">
        <f>IFERROR((Plant_BD[[#This Row],[Sunset Time (POA&lt;20 W/m2)]]-Plant_BD[[#This Row],[Sunrise Time (POA&gt;20 W/m2)]])*24,"")</f>
        <v>12.250000000000002</v>
      </c>
      <c r="L181" s="215"/>
      <c r="M181" s="215"/>
      <c r="N181" s="215"/>
      <c r="O181" s="215"/>
      <c r="P181" s="215"/>
      <c r="Q181" s="215"/>
      <c r="R181" s="215"/>
      <c r="S181" s="215"/>
      <c r="T181" s="216" t="s">
        <v>220</v>
      </c>
      <c r="U181" s="16">
        <f>IFERROR(_xlfn.XLOOKUP(Plant_BD[[#This Row],[Affected Equipment]],'Basic Data'!$A:$A,'Basic Data'!$B:$B),"")</f>
        <v>669.6</v>
      </c>
      <c r="V181" s="217">
        <f>IFERROR(_xlfn.XLOOKUP(Plant_BD[[#This Row],[Affected Equipment]],'Basic Data'!$A:$A,'Basic Data'!$C:$C),"")</f>
        <v>8.348190352703562E-2</v>
      </c>
      <c r="W181" s="218" t="s">
        <v>311</v>
      </c>
      <c r="X181" s="218" t="s">
        <v>1078</v>
      </c>
      <c r="Y181" s="218"/>
      <c r="Z181" s="219" t="s">
        <v>1078</v>
      </c>
      <c r="AA181" s="220">
        <v>0.42569444444444443</v>
      </c>
      <c r="AB181" s="220"/>
      <c r="AC181" s="220"/>
      <c r="AD181" s="220">
        <v>0.44513888888888886</v>
      </c>
      <c r="AE181" s="221">
        <f>IF(Plant_BD[[#This Row],[Acknowledgement Time ]]="NA","",(Plant_BD[[#This Row],[Acknowledgement Time ]]-Plant_BD[[#This Row],[Fault Time]])*24)</f>
        <v>-10.216666666666667</v>
      </c>
      <c r="AF181" s="221">
        <f>IF(Plant_BD[[#This Row],[Work Start time on Fault]]="NA","",(Plant_BD[[#This Row],[Work Start time on Fault]]-Plant_BD[[#This Row],[Fault Time]])*24)</f>
        <v>-10.216666666666667</v>
      </c>
      <c r="AG181" s="17">
        <f>(Plant_BD[[#This Row],[Work Completion time on fault]]-Plant_BD[[#This Row],[Fault Time]])*24</f>
        <v>0.46666666666666634</v>
      </c>
      <c r="AH181" s="17">
        <f>IFERROR((Plant_BD[[#This Row],[Work Completion time on fault]]-Plant_BD[[#This Row],[Fault Time]])*24,"")</f>
        <v>0.46666666666666634</v>
      </c>
      <c r="AI181" s="222" t="s">
        <v>1072</v>
      </c>
      <c r="AJ181" s="6" t="s">
        <v>1068</v>
      </c>
      <c r="AK181" s="223">
        <f>IFERROR(Plant_BD[[#This Row],[Breakdown Time]]*Plant_BD[[#This Row],[Plant Equivalent Weightage]],"")</f>
        <v>3.8958221645949927E-2</v>
      </c>
      <c r="AL181" s="6">
        <v>0.37</v>
      </c>
      <c r="AM181" s="221">
        <f>_xlfn.XLOOKUP($G181,'Modelling New'!$D:$D,'Modelling New'!$O:$O)*Plant_BD[[#This Row],[Lost PoA(kWh/m2)]]*Plant_BD[[#This Row],[DC Capacity Affected (kW)]]</f>
        <v>167.30066771766457</v>
      </c>
      <c r="AN181" s="6"/>
      <c r="AO181" s="6"/>
      <c r="AP181" s="224"/>
    </row>
    <row r="182" spans="1:42" s="13" customFormat="1" ht="100.8" x14ac:dyDescent="0.3">
      <c r="A182" s="171">
        <f t="shared" si="2"/>
        <v>181</v>
      </c>
      <c r="B182" s="200">
        <v>45754</v>
      </c>
      <c r="C182" s="212">
        <f>YEAR(Plant_BD[[#This Row],[Date]])+IF(MONTH(Plant_BD[[#This Row],[Date]])&gt;=4,1,0)</f>
        <v>2026</v>
      </c>
      <c r="D182" s="212">
        <f>YEAR(Plant_BD[[#This Row],[Date]])</f>
        <v>2025</v>
      </c>
      <c r="E182" s="77" t="s">
        <v>1070</v>
      </c>
      <c r="F182" s="77" t="s">
        <v>1070</v>
      </c>
      <c r="G182" s="213">
        <f>Plant_BD[[#This Row],[Date]]-DAY(Plant_BD[[#This Row],[Date]])+1</f>
        <v>45748</v>
      </c>
      <c r="H182" s="3">
        <f>DAY(EOMONTH(Plant_BD[[#This Row],[Month Year]],0))</f>
        <v>30</v>
      </c>
      <c r="I182" s="214">
        <f>_xlfn.XLOOKUP(Plant_BD[[#This Row],[Date]],'Raw Data'!$G:$G,'Raw Data'!$I:$I)</f>
        <v>0.25833333333333336</v>
      </c>
      <c r="J182" s="214">
        <f>_xlfn.XLOOKUP(Plant_BD[[#This Row],[Date]],'Raw Data'!$G:$G,'Raw Data'!$J:$J)</f>
        <v>0.76875000000000004</v>
      </c>
      <c r="K182" s="215">
        <f>IFERROR((Plant_BD[[#This Row],[Sunset Time (POA&lt;20 W/m2)]]-Plant_BD[[#This Row],[Sunrise Time (POA&gt;20 W/m2)]])*24,"")</f>
        <v>12.250000000000002</v>
      </c>
      <c r="L182" s="215"/>
      <c r="M182" s="215"/>
      <c r="N182" s="215"/>
      <c r="O182" s="215"/>
      <c r="P182" s="215"/>
      <c r="Q182" s="215"/>
      <c r="R182" s="215"/>
      <c r="S182" s="215"/>
      <c r="T182" s="216" t="s">
        <v>168</v>
      </c>
      <c r="U182" s="226">
        <f>IFERROR(_xlfn.XLOOKUP(Plant_BD[[#This Row],[Affected Equipment]],'Basic Data'!$A:$A,'Basic Data'!$B:$B),"")</f>
        <v>2694.6</v>
      </c>
      <c r="V182" s="217">
        <f>IFERROR(_xlfn.XLOOKUP(Plant_BD[[#This Row],[Affected Equipment]],'Basic Data'!$A:$A,'Basic Data'!$C:$C),"")</f>
        <v>0.33594733758057077</v>
      </c>
      <c r="W182" s="227" t="s">
        <v>311</v>
      </c>
      <c r="X182" s="227" t="s">
        <v>1175</v>
      </c>
      <c r="Y182" s="228" t="s">
        <v>1176</v>
      </c>
      <c r="Z182" s="229" t="s">
        <v>1176</v>
      </c>
      <c r="AA182" s="225">
        <v>0.44513888888888886</v>
      </c>
      <c r="AB182" s="225"/>
      <c r="AC182" s="225"/>
      <c r="AD182" s="225">
        <v>0.49791666666666667</v>
      </c>
      <c r="AE182" s="221">
        <f>IF(Plant_BD[[#This Row],[Acknowledgement Time ]]="NA","",(Plant_BD[[#This Row],[Acknowledgement Time ]]-Plant_BD[[#This Row],[Fault Time]])*24)</f>
        <v>-10.683333333333334</v>
      </c>
      <c r="AF182" s="221">
        <f>IF(Plant_BD[[#This Row],[Work Start time on Fault]]="NA","",(Plant_BD[[#This Row],[Work Start time on Fault]]-Plant_BD[[#This Row],[Fault Time]])*24)</f>
        <v>-10.683333333333334</v>
      </c>
      <c r="AG182" s="221">
        <f>(Plant_BD[[#This Row],[Work Completion time on fault]]-Plant_BD[[#This Row],[Fault Time]])*24</f>
        <v>1.2666666666666675</v>
      </c>
      <c r="AH182" s="221">
        <f>IFERROR((Plant_BD[[#This Row],[Work Completion time on fault]]-Plant_BD[[#This Row],[Fault Time]])*24,"")</f>
        <v>1.2666666666666675</v>
      </c>
      <c r="AI182" s="222" t="s">
        <v>1074</v>
      </c>
      <c r="AJ182" s="230" t="s">
        <v>1069</v>
      </c>
      <c r="AK182" s="223">
        <f>IFERROR(Plant_BD[[#This Row],[Breakdown Time]]*Plant_BD[[#This Row],[Plant Equivalent Weightage]],"")</f>
        <v>0.42553329426872327</v>
      </c>
      <c r="AL182" s="230">
        <v>1.1399999999999999</v>
      </c>
      <c r="AM182" s="221">
        <f>_xlfn.XLOOKUP($G182,'Modelling New'!$D:$D,'Modelling New'!$O:$O)*Plant_BD[[#This Row],[Lost PoA(kWh/m2)]]*Plant_BD[[#This Row],[DC Capacity Affected (kW)]]</f>
        <v>2074.3386625516705</v>
      </c>
      <c r="AN182" s="6"/>
      <c r="AO182" s="6"/>
      <c r="AP182" s="224"/>
    </row>
    <row r="183" spans="1:42" x14ac:dyDescent="0.3">
      <c r="A183" s="171">
        <f t="shared" si="2"/>
        <v>182</v>
      </c>
      <c r="B183" s="200">
        <v>45754</v>
      </c>
      <c r="C183" s="212">
        <f>YEAR(Plant_BD[[#This Row],[Date]])+IF(MONTH(Plant_BD[[#This Row],[Date]])&gt;=4,1,0)</f>
        <v>2026</v>
      </c>
      <c r="D183" s="212">
        <f>YEAR(Plant_BD[[#This Row],[Date]])</f>
        <v>2025</v>
      </c>
      <c r="E183" s="77" t="s">
        <v>1070</v>
      </c>
      <c r="F183" s="77" t="s">
        <v>1070</v>
      </c>
      <c r="G183" s="213">
        <f>Plant_BD[[#This Row],[Date]]-DAY(Plant_BD[[#This Row],[Date]])+1</f>
        <v>45748</v>
      </c>
      <c r="H183" s="3">
        <f>DAY(EOMONTH(Plant_BD[[#This Row],[Month Year]],0))</f>
        <v>30</v>
      </c>
      <c r="I183" s="214">
        <f>_xlfn.XLOOKUP(Plant_BD[[#This Row],[Date]],'Raw Data'!$G:$G,'Raw Data'!$I:$I)</f>
        <v>0.25833333333333336</v>
      </c>
      <c r="J183" s="214">
        <f>_xlfn.XLOOKUP(Plant_BD[[#This Row],[Date]],'Raw Data'!$G:$G,'Raw Data'!$J:$J)</f>
        <v>0.76875000000000004</v>
      </c>
      <c r="K183" s="215">
        <f>IFERROR((Plant_BD[[#This Row],[Sunset Time (POA&lt;20 W/m2)]]-Plant_BD[[#This Row],[Sunrise Time (POA&gt;20 W/m2)]])*24,"")</f>
        <v>12.250000000000002</v>
      </c>
      <c r="L183" s="215"/>
      <c r="M183" s="215"/>
      <c r="N183" s="215"/>
      <c r="O183" s="215"/>
      <c r="P183" s="215"/>
      <c r="Q183" s="215"/>
      <c r="R183" s="215"/>
      <c r="S183" s="215"/>
      <c r="T183" s="216" t="s">
        <v>219</v>
      </c>
      <c r="U183" s="16">
        <f>IFERROR(_xlfn.XLOOKUP(Plant_BD[[#This Row],[Affected Equipment]],'Basic Data'!$A:$A,'Basic Data'!$B:$B),"")</f>
        <v>669.6</v>
      </c>
      <c r="V183" s="217">
        <f>IFERROR(_xlfn.XLOOKUP(Plant_BD[[#This Row],[Affected Equipment]],'Basic Data'!$A:$A,'Basic Data'!$C:$C),"")</f>
        <v>8.348190352703562E-2</v>
      </c>
      <c r="W183" s="218" t="s">
        <v>311</v>
      </c>
      <c r="X183" s="218" t="s">
        <v>1076</v>
      </c>
      <c r="Y183" s="218"/>
      <c r="Z183" s="219" t="s">
        <v>1076</v>
      </c>
      <c r="AA183" s="220">
        <v>0.49791666666666667</v>
      </c>
      <c r="AB183" s="220"/>
      <c r="AC183" s="220"/>
      <c r="AD183" s="220">
        <v>0.76875000000000004</v>
      </c>
      <c r="AE183" s="221">
        <f>IF(Plant_BD[[#This Row],[Acknowledgement Time ]]="NA","",(Plant_BD[[#This Row],[Acknowledgement Time ]]-Plant_BD[[#This Row],[Fault Time]])*24)</f>
        <v>-11.95</v>
      </c>
      <c r="AF183" s="221">
        <f>IF(Plant_BD[[#This Row],[Work Start time on Fault]]="NA","",(Plant_BD[[#This Row],[Work Start time on Fault]]-Plant_BD[[#This Row],[Fault Time]])*24)</f>
        <v>-11.95</v>
      </c>
      <c r="AG183" s="17">
        <f>(Plant_BD[[#This Row],[Work Completion time on fault]]-Plant_BD[[#This Row],[Fault Time]])*24</f>
        <v>6.5000000000000009</v>
      </c>
      <c r="AH183" s="17">
        <f>IFERROR((Plant_BD[[#This Row],[Work Completion time on fault]]-Plant_BD[[#This Row],[Fault Time]])*24,"")</f>
        <v>6.5000000000000009</v>
      </c>
      <c r="AI183" s="222" t="s">
        <v>1072</v>
      </c>
      <c r="AJ183" s="6" t="s">
        <v>1068</v>
      </c>
      <c r="AK183" s="223">
        <f>IFERROR(Plant_BD[[#This Row],[Breakdown Time]]*Plant_BD[[#This Row],[Plant Equivalent Weightage]],"")</f>
        <v>0.54263237292573163</v>
      </c>
      <c r="AL183" s="6">
        <v>3.7</v>
      </c>
      <c r="AM183" s="221">
        <f>_xlfn.XLOOKUP($G183,'Modelling New'!$D:$D,'Modelling New'!$O:$O)*Plant_BD[[#This Row],[Lost PoA(kWh/m2)]]*Plant_BD[[#This Row],[DC Capacity Affected (kW)]]</f>
        <v>1673.0066771766458</v>
      </c>
      <c r="AN183" s="6"/>
      <c r="AO183" s="6"/>
      <c r="AP183" s="224"/>
    </row>
    <row r="184" spans="1:42" x14ac:dyDescent="0.3">
      <c r="A184" s="171">
        <f t="shared" si="2"/>
        <v>183</v>
      </c>
      <c r="B184" s="200">
        <v>45754</v>
      </c>
      <c r="C184" s="212">
        <f>YEAR(Plant_BD[[#This Row],[Date]])+IF(MONTH(Plant_BD[[#This Row],[Date]])&gt;=4,1,0)</f>
        <v>2026</v>
      </c>
      <c r="D184" s="212">
        <f>YEAR(Plant_BD[[#This Row],[Date]])</f>
        <v>2025</v>
      </c>
      <c r="E184" s="77" t="s">
        <v>1070</v>
      </c>
      <c r="F184" s="77" t="s">
        <v>1070</v>
      </c>
      <c r="G184" s="213">
        <f>Plant_BD[[#This Row],[Date]]-DAY(Plant_BD[[#This Row],[Date]])+1</f>
        <v>45748</v>
      </c>
      <c r="H184" s="3">
        <f>DAY(EOMONTH(Plant_BD[[#This Row],[Month Year]],0))</f>
        <v>30</v>
      </c>
      <c r="I184" s="214">
        <f>_xlfn.XLOOKUP(Plant_BD[[#This Row],[Date]],'Raw Data'!$G:$G,'Raw Data'!$I:$I)</f>
        <v>0.25833333333333336</v>
      </c>
      <c r="J184" s="214">
        <f>_xlfn.XLOOKUP(Plant_BD[[#This Row],[Date]],'Raw Data'!$G:$G,'Raw Data'!$J:$J)</f>
        <v>0.76875000000000004</v>
      </c>
      <c r="K184" s="215">
        <f>IFERROR((Plant_BD[[#This Row],[Sunset Time (POA&lt;20 W/m2)]]-Plant_BD[[#This Row],[Sunrise Time (POA&gt;20 W/m2)]])*24,"")</f>
        <v>12.250000000000002</v>
      </c>
      <c r="L184" s="215"/>
      <c r="M184" s="215"/>
      <c r="N184" s="215"/>
      <c r="O184" s="215"/>
      <c r="P184" s="215"/>
      <c r="Q184" s="215"/>
      <c r="R184" s="215"/>
      <c r="S184" s="215"/>
      <c r="T184" s="216" t="s">
        <v>226</v>
      </c>
      <c r="U184" s="16">
        <f>IFERROR(_xlfn.XLOOKUP(Plant_BD[[#This Row],[Affected Equipment]],'Basic Data'!$A:$A,'Basic Data'!$B:$B),"")</f>
        <v>658.8</v>
      </c>
      <c r="V184" s="217">
        <f>IFERROR(_xlfn.XLOOKUP(Plant_BD[[#This Row],[Affected Equipment]],'Basic Data'!$A:$A,'Basic Data'!$C:$C),"")</f>
        <v>8.2135421212083434E-2</v>
      </c>
      <c r="W184" s="218" t="s">
        <v>291</v>
      </c>
      <c r="X184" s="218" t="s">
        <v>1075</v>
      </c>
      <c r="Y184" s="218"/>
      <c r="Z184" s="219" t="s">
        <v>1075</v>
      </c>
      <c r="AA184" s="220">
        <v>0.54861111111111116</v>
      </c>
      <c r="AB184" s="220"/>
      <c r="AC184" s="220"/>
      <c r="AD184" s="220">
        <v>0.76875000000000004</v>
      </c>
      <c r="AE184" s="221">
        <f>IF(Plant_BD[[#This Row],[Acknowledgement Time ]]="NA","",(Plant_BD[[#This Row],[Acknowledgement Time ]]-Plant_BD[[#This Row],[Fault Time]])*24)</f>
        <v>-13.166666666666668</v>
      </c>
      <c r="AF184" s="221">
        <f>IF(Plant_BD[[#This Row],[Work Start time on Fault]]="NA","",(Plant_BD[[#This Row],[Work Start time on Fault]]-Plant_BD[[#This Row],[Fault Time]])*24)</f>
        <v>-13.166666666666668</v>
      </c>
      <c r="AG184" s="17">
        <f>(Plant_BD[[#This Row],[Work Completion time on fault]]-Plant_BD[[#This Row],[Fault Time]])*24</f>
        <v>5.2833333333333332</v>
      </c>
      <c r="AH184" s="17">
        <f>IFERROR((Plant_BD[[#This Row],[Work Completion time on fault]]-Plant_BD[[#This Row],[Fault Time]])*24,"")</f>
        <v>5.2833333333333332</v>
      </c>
      <c r="AI184" s="222" t="s">
        <v>1072</v>
      </c>
      <c r="AJ184" s="6" t="s">
        <v>1068</v>
      </c>
      <c r="AK184" s="223">
        <f>IFERROR(Plant_BD[[#This Row],[Breakdown Time]]*Plant_BD[[#This Row],[Plant Equivalent Weightage]],"")</f>
        <v>0.43394880873717412</v>
      </c>
      <c r="AL184" s="6">
        <v>2.62</v>
      </c>
      <c r="AM184" s="221">
        <f>_xlfn.XLOOKUP($G184,'Modelling New'!$D:$D,'Modelling New'!$O:$O)*Plant_BD[[#This Row],[Lost PoA(kWh/m2)]]*Plant_BD[[#This Row],[DC Capacity Affected (kW)]]</f>
        <v>1165.5620189466936</v>
      </c>
      <c r="AN184" s="6"/>
      <c r="AO184" s="6"/>
      <c r="AP184" s="224"/>
    </row>
    <row r="185" spans="1:42" x14ac:dyDescent="0.3">
      <c r="A185" s="171">
        <f t="shared" si="2"/>
        <v>184</v>
      </c>
      <c r="B185" s="200">
        <v>45755</v>
      </c>
      <c r="C185" s="212">
        <f>YEAR(Plant_BD[[#This Row],[Date]])+IF(MONTH(Plant_BD[[#This Row],[Date]])&gt;=4,1,0)</f>
        <v>2026</v>
      </c>
      <c r="D185" s="212">
        <f>YEAR(Plant_BD[[#This Row],[Date]])</f>
        <v>2025</v>
      </c>
      <c r="E185" s="77" t="s">
        <v>1070</v>
      </c>
      <c r="F185" s="77" t="s">
        <v>1070</v>
      </c>
      <c r="G185" s="213">
        <f>Plant_BD[[#This Row],[Date]]-DAY(Plant_BD[[#This Row],[Date]])+1</f>
        <v>45748</v>
      </c>
      <c r="H185" s="3">
        <f>DAY(EOMONTH(Plant_BD[[#This Row],[Month Year]],0))</f>
        <v>30</v>
      </c>
      <c r="I185" s="214">
        <f>_xlfn.XLOOKUP(Plant_BD[[#This Row],[Date]],'Raw Data'!$G:$G,'Raw Data'!$I:$I)</f>
        <v>0.25763888888888886</v>
      </c>
      <c r="J185" s="214">
        <f>_xlfn.XLOOKUP(Plant_BD[[#This Row],[Date]],'Raw Data'!$G:$G,'Raw Data'!$J:$J)</f>
        <v>0.76597222222222228</v>
      </c>
      <c r="K185" s="215">
        <f>IFERROR((Plant_BD[[#This Row],[Sunset Time (POA&lt;20 W/m2)]]-Plant_BD[[#This Row],[Sunrise Time (POA&gt;20 W/m2)]])*24,"")</f>
        <v>12.200000000000003</v>
      </c>
      <c r="L185" s="215"/>
      <c r="M185" s="215"/>
      <c r="N185" s="215"/>
      <c r="O185" s="215"/>
      <c r="P185" s="215"/>
      <c r="Q185" s="215"/>
      <c r="R185" s="215"/>
      <c r="S185" s="215"/>
      <c r="T185" s="216" t="s">
        <v>219</v>
      </c>
      <c r="U185" s="16">
        <f>IFERROR(_xlfn.XLOOKUP(Plant_BD[[#This Row],[Affected Equipment]],'Basic Data'!$A:$A,'Basic Data'!$B:$B),"")</f>
        <v>669.6</v>
      </c>
      <c r="V185" s="217">
        <f>IFERROR(_xlfn.XLOOKUP(Plant_BD[[#This Row],[Affected Equipment]],'Basic Data'!$A:$A,'Basic Data'!$C:$C),"")</f>
        <v>8.348190352703562E-2</v>
      </c>
      <c r="W185" s="218" t="s">
        <v>311</v>
      </c>
      <c r="X185" s="218" t="s">
        <v>1076</v>
      </c>
      <c r="Y185" s="218"/>
      <c r="Z185" s="219" t="s">
        <v>1076</v>
      </c>
      <c r="AA185" s="220">
        <v>0.25763888888888886</v>
      </c>
      <c r="AB185" s="220"/>
      <c r="AC185" s="220"/>
      <c r="AD185" s="220">
        <v>0.76597222222222228</v>
      </c>
      <c r="AE185" s="221">
        <f>IF(Plant_BD[[#This Row],[Acknowledgement Time ]]="NA","",(Plant_BD[[#This Row],[Acknowledgement Time ]]-Plant_BD[[#This Row],[Fault Time]])*24)</f>
        <v>-6.1833333333333327</v>
      </c>
      <c r="AF185" s="221">
        <f>IF(Plant_BD[[#This Row],[Work Start time on Fault]]="NA","",(Plant_BD[[#This Row],[Work Start time on Fault]]-Plant_BD[[#This Row],[Fault Time]])*24)</f>
        <v>-6.1833333333333327</v>
      </c>
      <c r="AG185" s="17">
        <f>(Plant_BD[[#This Row],[Work Completion time on fault]]-Plant_BD[[#This Row],[Fault Time]])*24</f>
        <v>12.200000000000003</v>
      </c>
      <c r="AH185" s="17">
        <f>IFERROR((Plant_BD[[#This Row],[Work Completion time on fault]]-Plant_BD[[#This Row],[Fault Time]])*24,"")</f>
        <v>12.200000000000003</v>
      </c>
      <c r="AI185" s="222" t="s">
        <v>1072</v>
      </c>
      <c r="AJ185" s="6" t="s">
        <v>1068</v>
      </c>
      <c r="AK185" s="223">
        <f>IFERROR(Plant_BD[[#This Row],[Breakdown Time]]*Plant_BD[[#This Row],[Plant Equivalent Weightage]],"")</f>
        <v>1.0184792230298347</v>
      </c>
      <c r="AL185" s="6">
        <v>5.83</v>
      </c>
      <c r="AM185" s="221">
        <f>_xlfn.XLOOKUP($G185,'Modelling New'!$D:$D,'Modelling New'!$O:$O)*Plant_BD[[#This Row],[Lost PoA(kWh/m2)]]*Plant_BD[[#This Row],[DC Capacity Affected (kW)]]</f>
        <v>2636.1159264702287</v>
      </c>
      <c r="AN185" s="6"/>
      <c r="AO185" s="6"/>
      <c r="AP185" s="224"/>
    </row>
    <row r="186" spans="1:42" x14ac:dyDescent="0.3">
      <c r="A186" s="171">
        <f t="shared" si="2"/>
        <v>185</v>
      </c>
      <c r="B186" s="200">
        <v>45755</v>
      </c>
      <c r="C186" s="212">
        <f>YEAR(Plant_BD[[#This Row],[Date]])+IF(MONTH(Plant_BD[[#This Row],[Date]])&gt;=4,1,0)</f>
        <v>2026</v>
      </c>
      <c r="D186" s="212">
        <f>YEAR(Plant_BD[[#This Row],[Date]])</f>
        <v>2025</v>
      </c>
      <c r="E186" s="77" t="s">
        <v>1070</v>
      </c>
      <c r="F186" s="77" t="s">
        <v>1070</v>
      </c>
      <c r="G186" s="213">
        <f>Plant_BD[[#This Row],[Date]]-DAY(Plant_BD[[#This Row],[Date]])+1</f>
        <v>45748</v>
      </c>
      <c r="H186" s="3">
        <f>DAY(EOMONTH(Plant_BD[[#This Row],[Month Year]],0))</f>
        <v>30</v>
      </c>
      <c r="I186" s="214">
        <f>_xlfn.XLOOKUP(Plant_BD[[#This Row],[Date]],'Raw Data'!$G:$G,'Raw Data'!$I:$I)</f>
        <v>0.25763888888888886</v>
      </c>
      <c r="J186" s="214">
        <f>_xlfn.XLOOKUP(Plant_BD[[#This Row],[Date]],'Raw Data'!$G:$G,'Raw Data'!$J:$J)</f>
        <v>0.76597222222222228</v>
      </c>
      <c r="K186" s="215">
        <f>IFERROR((Plant_BD[[#This Row],[Sunset Time (POA&lt;20 W/m2)]]-Plant_BD[[#This Row],[Sunrise Time (POA&gt;20 W/m2)]])*24,"")</f>
        <v>12.200000000000003</v>
      </c>
      <c r="L186" s="215"/>
      <c r="M186" s="215"/>
      <c r="N186" s="215"/>
      <c r="O186" s="215"/>
      <c r="P186" s="215"/>
      <c r="Q186" s="215"/>
      <c r="R186" s="215"/>
      <c r="S186" s="215"/>
      <c r="T186" s="216" t="s">
        <v>226</v>
      </c>
      <c r="U186" s="16">
        <f>IFERROR(_xlfn.XLOOKUP(Plant_BD[[#This Row],[Affected Equipment]],'Basic Data'!$A:$A,'Basic Data'!$B:$B),"")</f>
        <v>658.8</v>
      </c>
      <c r="V186" s="217">
        <f>IFERROR(_xlfn.XLOOKUP(Plant_BD[[#This Row],[Affected Equipment]],'Basic Data'!$A:$A,'Basic Data'!$C:$C),"")</f>
        <v>8.2135421212083434E-2</v>
      </c>
      <c r="W186" s="218" t="s">
        <v>291</v>
      </c>
      <c r="X186" s="218" t="s">
        <v>1075</v>
      </c>
      <c r="Y186" s="218"/>
      <c r="Z186" s="219" t="s">
        <v>1075</v>
      </c>
      <c r="AA186" s="220">
        <v>0.25763888888888886</v>
      </c>
      <c r="AB186" s="220"/>
      <c r="AC186" s="220"/>
      <c r="AD186" s="220">
        <v>0.76597222222222228</v>
      </c>
      <c r="AE186" s="221">
        <f>IF(Plant_BD[[#This Row],[Acknowledgement Time ]]="NA","",(Plant_BD[[#This Row],[Acknowledgement Time ]]-Plant_BD[[#This Row],[Fault Time]])*24)</f>
        <v>-6.1833333333333327</v>
      </c>
      <c r="AF186" s="221">
        <f>IF(Plant_BD[[#This Row],[Work Start time on Fault]]="NA","",(Plant_BD[[#This Row],[Work Start time on Fault]]-Plant_BD[[#This Row],[Fault Time]])*24)</f>
        <v>-6.1833333333333327</v>
      </c>
      <c r="AG186" s="17">
        <f>(Plant_BD[[#This Row],[Work Completion time on fault]]-Plant_BD[[#This Row],[Fault Time]])*24</f>
        <v>12.200000000000003</v>
      </c>
      <c r="AH186" s="17">
        <f>IFERROR((Plant_BD[[#This Row],[Work Completion time on fault]]-Plant_BD[[#This Row],[Fault Time]])*24,"")</f>
        <v>12.200000000000003</v>
      </c>
      <c r="AI186" s="222" t="s">
        <v>1072</v>
      </c>
      <c r="AJ186" s="6" t="s">
        <v>1068</v>
      </c>
      <c r="AK186" s="223">
        <f>IFERROR(Plant_BD[[#This Row],[Breakdown Time]]*Plant_BD[[#This Row],[Plant Equivalent Weightage]],"")</f>
        <v>1.0020521387874182</v>
      </c>
      <c r="AL186" s="6">
        <v>5.83</v>
      </c>
      <c r="AM186" s="221">
        <f>_xlfn.XLOOKUP($G186,'Modelling New'!$D:$D,'Modelling New'!$O:$O)*Plant_BD[[#This Row],[Lost PoA(kWh/m2)]]*Plant_BD[[#This Row],[DC Capacity Affected (kW)]]</f>
        <v>2593.5979276561925</v>
      </c>
      <c r="AN186" s="6"/>
      <c r="AO186" s="6"/>
      <c r="AP186" s="224"/>
    </row>
    <row r="187" spans="1:42" x14ac:dyDescent="0.3">
      <c r="A187" s="171">
        <f t="shared" si="2"/>
        <v>186</v>
      </c>
      <c r="B187" s="200">
        <v>45756</v>
      </c>
      <c r="C187" s="212">
        <f>YEAR(Plant_BD[[#This Row],[Date]])+IF(MONTH(Plant_BD[[#This Row],[Date]])&gt;=4,1,0)</f>
        <v>2026</v>
      </c>
      <c r="D187" s="212">
        <f>YEAR(Plant_BD[[#This Row],[Date]])</f>
        <v>2025</v>
      </c>
      <c r="E187" s="77" t="s">
        <v>1070</v>
      </c>
      <c r="F187" s="77" t="s">
        <v>1070</v>
      </c>
      <c r="G187" s="213">
        <f>Plant_BD[[#This Row],[Date]]-DAY(Plant_BD[[#This Row],[Date]])+1</f>
        <v>45748</v>
      </c>
      <c r="H187" s="3">
        <f>DAY(EOMONTH(Plant_BD[[#This Row],[Month Year]],0))</f>
        <v>30</v>
      </c>
      <c r="I187" s="214">
        <f>_xlfn.XLOOKUP(Plant_BD[[#This Row],[Date]],'Raw Data'!$G:$G,'Raw Data'!$I:$I)</f>
        <v>0.25694444444444442</v>
      </c>
      <c r="J187" s="214">
        <f>_xlfn.XLOOKUP(Plant_BD[[#This Row],[Date]],'Raw Data'!$G:$G,'Raw Data'!$J:$J)</f>
        <v>0.76666666666666672</v>
      </c>
      <c r="K187" s="215">
        <f>IFERROR((Plant_BD[[#This Row],[Sunset Time (POA&lt;20 W/m2)]]-Plant_BD[[#This Row],[Sunrise Time (POA&gt;20 W/m2)]])*24,"")</f>
        <v>12.233333333333334</v>
      </c>
      <c r="L187" s="215"/>
      <c r="M187" s="215"/>
      <c r="N187" s="215"/>
      <c r="O187" s="215"/>
      <c r="P187" s="215"/>
      <c r="Q187" s="215"/>
      <c r="R187" s="215"/>
      <c r="S187" s="215"/>
      <c r="T187" s="216" t="s">
        <v>219</v>
      </c>
      <c r="U187" s="16">
        <f>IFERROR(_xlfn.XLOOKUP(Plant_BD[[#This Row],[Affected Equipment]],'Basic Data'!$A:$A,'Basic Data'!$B:$B),"")</f>
        <v>669.6</v>
      </c>
      <c r="V187" s="217">
        <f>IFERROR(_xlfn.XLOOKUP(Plant_BD[[#This Row],[Affected Equipment]],'Basic Data'!$A:$A,'Basic Data'!$C:$C),"")</f>
        <v>8.348190352703562E-2</v>
      </c>
      <c r="W187" s="218" t="s">
        <v>311</v>
      </c>
      <c r="X187" s="218" t="s">
        <v>1076</v>
      </c>
      <c r="Y187" s="218"/>
      <c r="Z187" s="219" t="s">
        <v>1076</v>
      </c>
      <c r="AA187" s="220">
        <v>0.25694444444444442</v>
      </c>
      <c r="AB187" s="220"/>
      <c r="AC187" s="220"/>
      <c r="AD187" s="220">
        <v>0.57847222222222228</v>
      </c>
      <c r="AE187" s="221">
        <f>IF(Plant_BD[[#This Row],[Acknowledgement Time ]]="NA","",(Plant_BD[[#This Row],[Acknowledgement Time ]]-Plant_BD[[#This Row],[Fault Time]])*24)</f>
        <v>-6.1666666666666661</v>
      </c>
      <c r="AF187" s="221">
        <f>IF(Plant_BD[[#This Row],[Work Start time on Fault]]="NA","",(Plant_BD[[#This Row],[Work Start time on Fault]]-Plant_BD[[#This Row],[Fault Time]])*24)</f>
        <v>-6.1666666666666661</v>
      </c>
      <c r="AG187" s="17">
        <f>(Plant_BD[[#This Row],[Work Completion time on fault]]-Plant_BD[[#This Row],[Fault Time]])*24</f>
        <v>7.7166666666666686</v>
      </c>
      <c r="AH187" s="17">
        <f>IFERROR((Plant_BD[[#This Row],[Work Completion time on fault]]-Plant_BD[[#This Row],[Fault Time]])*24,"")</f>
        <v>7.7166666666666686</v>
      </c>
      <c r="AI187" s="222" t="s">
        <v>1072</v>
      </c>
      <c r="AJ187" s="6" t="s">
        <v>1068</v>
      </c>
      <c r="AK187" s="223">
        <f>IFERROR(Plant_BD[[#This Row],[Breakdown Time]]*Plant_BD[[#This Row],[Plant Equivalent Weightage]],"")</f>
        <v>0.64420202221695833</v>
      </c>
      <c r="AL187" s="6">
        <v>4.6399999999999997</v>
      </c>
      <c r="AM187" s="221">
        <f>_xlfn.XLOOKUP($G187,'Modelling New'!$D:$D,'Modelling New'!$O:$O)*Plant_BD[[#This Row],[Lost PoA(kWh/m2)]]*Plant_BD[[#This Row],[DC Capacity Affected (kW)]]</f>
        <v>2098.0408059728748</v>
      </c>
      <c r="AN187" s="6"/>
      <c r="AO187" s="6"/>
      <c r="AP187" s="224"/>
    </row>
    <row r="188" spans="1:42" x14ac:dyDescent="0.3">
      <c r="A188" s="171">
        <f t="shared" si="2"/>
        <v>187</v>
      </c>
      <c r="B188" s="200">
        <v>45756</v>
      </c>
      <c r="C188" s="212">
        <f>YEAR(Plant_BD[[#This Row],[Date]])+IF(MONTH(Plant_BD[[#This Row],[Date]])&gt;=4,1,0)</f>
        <v>2026</v>
      </c>
      <c r="D188" s="212">
        <f>YEAR(Plant_BD[[#This Row],[Date]])</f>
        <v>2025</v>
      </c>
      <c r="E188" s="77" t="s">
        <v>1070</v>
      </c>
      <c r="F188" s="77" t="s">
        <v>1070</v>
      </c>
      <c r="G188" s="213">
        <f>Plant_BD[[#This Row],[Date]]-DAY(Plant_BD[[#This Row],[Date]])+1</f>
        <v>45748</v>
      </c>
      <c r="H188" s="3">
        <f>DAY(EOMONTH(Plant_BD[[#This Row],[Month Year]],0))</f>
        <v>30</v>
      </c>
      <c r="I188" s="214">
        <f>_xlfn.XLOOKUP(Plant_BD[[#This Row],[Date]],'Raw Data'!$G:$G,'Raw Data'!$I:$I)</f>
        <v>0.25694444444444442</v>
      </c>
      <c r="J188" s="214">
        <f>_xlfn.XLOOKUP(Plant_BD[[#This Row],[Date]],'Raw Data'!$G:$G,'Raw Data'!$J:$J)</f>
        <v>0.76666666666666672</v>
      </c>
      <c r="K188" s="215">
        <f>IFERROR((Plant_BD[[#This Row],[Sunset Time (POA&lt;20 W/m2)]]-Plant_BD[[#This Row],[Sunrise Time (POA&gt;20 W/m2)]])*24,"")</f>
        <v>12.233333333333334</v>
      </c>
      <c r="L188" s="215"/>
      <c r="M188" s="215"/>
      <c r="N188" s="215"/>
      <c r="O188" s="215"/>
      <c r="P188" s="215"/>
      <c r="Q188" s="215"/>
      <c r="R188" s="215"/>
      <c r="S188" s="215"/>
      <c r="T188" s="216" t="s">
        <v>226</v>
      </c>
      <c r="U188" s="16">
        <f>IFERROR(_xlfn.XLOOKUP(Plant_BD[[#This Row],[Affected Equipment]],'Basic Data'!$A:$A,'Basic Data'!$B:$B),"")</f>
        <v>658.8</v>
      </c>
      <c r="V188" s="217">
        <f>IFERROR(_xlfn.XLOOKUP(Plant_BD[[#This Row],[Affected Equipment]],'Basic Data'!$A:$A,'Basic Data'!$C:$C),"")</f>
        <v>8.2135421212083434E-2</v>
      </c>
      <c r="W188" s="218" t="s">
        <v>291</v>
      </c>
      <c r="X188" s="218" t="s">
        <v>1075</v>
      </c>
      <c r="Y188" s="218"/>
      <c r="Z188" s="219" t="s">
        <v>1075</v>
      </c>
      <c r="AA188" s="220">
        <v>0.25694444444444442</v>
      </c>
      <c r="AB188" s="220"/>
      <c r="AC188" s="220"/>
      <c r="AD188" s="220">
        <v>0.55694444444444446</v>
      </c>
      <c r="AE188" s="221">
        <f>IF(Plant_BD[[#This Row],[Acknowledgement Time ]]="NA","",(Plant_BD[[#This Row],[Acknowledgement Time ]]-Plant_BD[[#This Row],[Fault Time]])*24)</f>
        <v>-6.1666666666666661</v>
      </c>
      <c r="AF188" s="221">
        <f>IF(Plant_BD[[#This Row],[Work Start time on Fault]]="NA","",(Plant_BD[[#This Row],[Work Start time on Fault]]-Plant_BD[[#This Row],[Fault Time]])*24)</f>
        <v>-6.1666666666666661</v>
      </c>
      <c r="AG188" s="17">
        <f>(Plant_BD[[#This Row],[Work Completion time on fault]]-Plant_BD[[#This Row],[Fault Time]])*24</f>
        <v>7.2000000000000011</v>
      </c>
      <c r="AH188" s="17">
        <f>IFERROR((Plant_BD[[#This Row],[Work Completion time on fault]]-Plant_BD[[#This Row],[Fault Time]])*24,"")</f>
        <v>7.2000000000000011</v>
      </c>
      <c r="AI188" s="222" t="s">
        <v>1072</v>
      </c>
      <c r="AJ188" s="6" t="s">
        <v>1068</v>
      </c>
      <c r="AK188" s="223">
        <f>IFERROR(Plant_BD[[#This Row],[Breakdown Time]]*Plant_BD[[#This Row],[Plant Equivalent Weightage]],"")</f>
        <v>0.59137503272700076</v>
      </c>
      <c r="AL188" s="6">
        <v>4.1500000000000004</v>
      </c>
      <c r="AM188" s="221">
        <f>_xlfn.XLOOKUP($G188,'Modelling New'!$D:$D,'Modelling New'!$O:$O)*Plant_BD[[#This Row],[Lost PoA(kWh/m2)]]*Plant_BD[[#This Row],[DC Capacity Affected (kW)]]</f>
        <v>1846.2146483315948</v>
      </c>
      <c r="AN188" s="6"/>
      <c r="AO188" s="6"/>
      <c r="AP188" s="224"/>
    </row>
    <row r="189" spans="1:42" x14ac:dyDescent="0.3">
      <c r="A189" s="171">
        <f t="shared" si="2"/>
        <v>188</v>
      </c>
      <c r="B189" s="200">
        <v>45756</v>
      </c>
      <c r="C189" s="212">
        <f>YEAR(Plant_BD[[#This Row],[Date]])+IF(MONTH(Plant_BD[[#This Row],[Date]])&gt;=4,1,0)</f>
        <v>2026</v>
      </c>
      <c r="D189" s="212">
        <f>YEAR(Plant_BD[[#This Row],[Date]])</f>
        <v>2025</v>
      </c>
      <c r="E189" s="77" t="s">
        <v>1070</v>
      </c>
      <c r="F189" s="77" t="s">
        <v>1070</v>
      </c>
      <c r="G189" s="213">
        <f>Plant_BD[[#This Row],[Date]]-DAY(Plant_BD[[#This Row],[Date]])+1</f>
        <v>45748</v>
      </c>
      <c r="H189" s="3">
        <f>DAY(EOMONTH(Plant_BD[[#This Row],[Month Year]],0))</f>
        <v>30</v>
      </c>
      <c r="I189" s="214">
        <f>_xlfn.XLOOKUP(Plant_BD[[#This Row],[Date]],'Raw Data'!$G:$G,'Raw Data'!$I:$I)</f>
        <v>0.25694444444444442</v>
      </c>
      <c r="J189" s="214">
        <f>_xlfn.XLOOKUP(Plant_BD[[#This Row],[Date]],'Raw Data'!$G:$G,'Raw Data'!$J:$J)</f>
        <v>0.76666666666666672</v>
      </c>
      <c r="K189" s="215">
        <f>IFERROR((Plant_BD[[#This Row],[Sunset Time (POA&lt;20 W/m2)]]-Plant_BD[[#This Row],[Sunrise Time (POA&gt;20 W/m2)]])*24,"")</f>
        <v>12.233333333333334</v>
      </c>
      <c r="L189" s="215"/>
      <c r="M189" s="215"/>
      <c r="N189" s="215"/>
      <c r="O189" s="215"/>
      <c r="P189" s="215"/>
      <c r="Q189" s="215"/>
      <c r="R189" s="215"/>
      <c r="S189" s="215"/>
      <c r="T189" s="216" t="s">
        <v>168</v>
      </c>
      <c r="U189" s="16">
        <f>IFERROR(_xlfn.XLOOKUP(Plant_BD[[#This Row],[Affected Equipment]],'Basic Data'!$A:$A,'Basic Data'!$B:$B),"")</f>
        <v>2694.6</v>
      </c>
      <c r="V189" s="217">
        <f>IFERROR(_xlfn.XLOOKUP(Plant_BD[[#This Row],[Affected Equipment]],'Basic Data'!$A:$A,'Basic Data'!$C:$C),"")</f>
        <v>0.33594733758057077</v>
      </c>
      <c r="W189" s="218" t="s">
        <v>311</v>
      </c>
      <c r="X189" s="218" t="s">
        <v>1173</v>
      </c>
      <c r="Y189" s="218"/>
      <c r="Z189" s="219" t="s">
        <v>1173</v>
      </c>
      <c r="AA189" s="220">
        <v>0.57847222222222228</v>
      </c>
      <c r="AB189" s="220"/>
      <c r="AC189" s="220"/>
      <c r="AD189" s="220">
        <v>0.59444444444444444</v>
      </c>
      <c r="AE189" s="221">
        <f>IF(Plant_BD[[#This Row],[Acknowledgement Time ]]="NA","",(Plant_BD[[#This Row],[Acknowledgement Time ]]-Plant_BD[[#This Row],[Fault Time]])*24)</f>
        <v>-13.883333333333335</v>
      </c>
      <c r="AF189" s="221">
        <f>IF(Plant_BD[[#This Row],[Work Start time on Fault]]="NA","",(Plant_BD[[#This Row],[Work Start time on Fault]]-Plant_BD[[#This Row],[Fault Time]])*24)</f>
        <v>-13.883333333333335</v>
      </c>
      <c r="AG189" s="17">
        <f>(Plant_BD[[#This Row],[Work Completion time on fault]]-Plant_BD[[#This Row],[Fault Time]])*24</f>
        <v>0.38333333333333197</v>
      </c>
      <c r="AH189" s="17">
        <f>IFERROR((Plant_BD[[#This Row],[Work Completion time on fault]]-Plant_BD[[#This Row],[Fault Time]])*24,"")</f>
        <v>0.38333333333333197</v>
      </c>
      <c r="AI189" s="222" t="s">
        <v>1074</v>
      </c>
      <c r="AJ189" s="6" t="s">
        <v>1069</v>
      </c>
      <c r="AK189" s="223">
        <f>IFERROR(Plant_BD[[#This Row],[Breakdown Time]]*Plant_BD[[#This Row],[Plant Equivalent Weightage]],"")</f>
        <v>0.12877981273921835</v>
      </c>
      <c r="AL189" s="6">
        <v>0.36</v>
      </c>
      <c r="AM189" s="221">
        <f>_xlfn.XLOOKUP($G189,'Modelling New'!$D:$D,'Modelling New'!$O:$O)*Plant_BD[[#This Row],[Lost PoA(kWh/m2)]]*Plant_BD[[#This Row],[DC Capacity Affected (kW)]]</f>
        <v>655.05431449000139</v>
      </c>
      <c r="AN189" s="6"/>
      <c r="AO189" s="6"/>
      <c r="AP189" s="224"/>
    </row>
    <row r="190" spans="1:42" x14ac:dyDescent="0.3">
      <c r="A190" s="171">
        <f t="shared" si="2"/>
        <v>189</v>
      </c>
      <c r="B190" s="200">
        <v>45756</v>
      </c>
      <c r="C190" s="212">
        <f>YEAR(Plant_BD[[#This Row],[Date]])+IF(MONTH(Plant_BD[[#This Row],[Date]])&gt;=4,1,0)</f>
        <v>2026</v>
      </c>
      <c r="D190" s="212">
        <f>YEAR(Plant_BD[[#This Row],[Date]])</f>
        <v>2025</v>
      </c>
      <c r="E190" s="77" t="s">
        <v>1070</v>
      </c>
      <c r="F190" s="77" t="s">
        <v>1070</v>
      </c>
      <c r="G190" s="213">
        <f>Plant_BD[[#This Row],[Date]]-DAY(Plant_BD[[#This Row],[Date]])+1</f>
        <v>45748</v>
      </c>
      <c r="H190" s="3">
        <f>DAY(EOMONTH(Plant_BD[[#This Row],[Month Year]],0))</f>
        <v>30</v>
      </c>
      <c r="I190" s="214">
        <f>_xlfn.XLOOKUP(Plant_BD[[#This Row],[Date]],'Raw Data'!$G:$G,'Raw Data'!$I:$I)</f>
        <v>0.25694444444444442</v>
      </c>
      <c r="J190" s="214">
        <f>_xlfn.XLOOKUP(Plant_BD[[#This Row],[Date]],'Raw Data'!$G:$G,'Raw Data'!$J:$J)</f>
        <v>0.76666666666666672</v>
      </c>
      <c r="K190" s="215">
        <f>IFERROR((Plant_BD[[#This Row],[Sunset Time (POA&lt;20 W/m2)]]-Plant_BD[[#This Row],[Sunrise Time (POA&gt;20 W/m2)]])*24,"")</f>
        <v>12.233333333333334</v>
      </c>
      <c r="L190" s="215"/>
      <c r="M190" s="215"/>
      <c r="N190" s="215"/>
      <c r="O190" s="215"/>
      <c r="P190" s="215"/>
      <c r="Q190" s="215"/>
      <c r="R190" s="215"/>
      <c r="S190" s="215"/>
      <c r="T190" s="216" t="s">
        <v>169</v>
      </c>
      <c r="U190" s="16">
        <f>IFERROR(_xlfn.XLOOKUP(Plant_BD[[#This Row],[Affected Equipment]],'Basic Data'!$A:$A,'Basic Data'!$B:$B),"")</f>
        <v>2630.8</v>
      </c>
      <c r="V190" s="217">
        <f>IFERROR(_xlfn.XLOOKUP(Plant_BD[[#This Row],[Affected Equipment]],'Basic Data'!$A:$A,'Basic Data'!$C:$C),"")</f>
        <v>0.32799311797927916</v>
      </c>
      <c r="W190" s="218" t="s">
        <v>291</v>
      </c>
      <c r="X190" s="218" t="s">
        <v>1173</v>
      </c>
      <c r="Y190" s="218"/>
      <c r="Z190" s="219" t="s">
        <v>1173</v>
      </c>
      <c r="AA190" s="220">
        <v>0.55694444444444446</v>
      </c>
      <c r="AB190" s="220"/>
      <c r="AC190" s="220"/>
      <c r="AD190" s="220">
        <v>0.58125000000000004</v>
      </c>
      <c r="AE190" s="221">
        <f>IF(Plant_BD[[#This Row],[Acknowledgement Time ]]="NA","",(Plant_BD[[#This Row],[Acknowledgement Time ]]-Plant_BD[[#This Row],[Fault Time]])*24)</f>
        <v>-13.366666666666667</v>
      </c>
      <c r="AF190" s="221">
        <f>IF(Plant_BD[[#This Row],[Work Start time on Fault]]="NA","",(Plant_BD[[#This Row],[Work Start time on Fault]]-Plant_BD[[#This Row],[Fault Time]])*24)</f>
        <v>-13.366666666666667</v>
      </c>
      <c r="AG190" s="17">
        <f>(Plant_BD[[#This Row],[Work Completion time on fault]]-Plant_BD[[#This Row],[Fault Time]])*24</f>
        <v>0.58333333333333393</v>
      </c>
      <c r="AH190" s="17">
        <f>IFERROR((Plant_BD[[#This Row],[Work Completion time on fault]]-Plant_BD[[#This Row],[Fault Time]])*24,"")</f>
        <v>0.58333333333333393</v>
      </c>
      <c r="AI190" s="222" t="s">
        <v>1074</v>
      </c>
      <c r="AJ190" s="6" t="s">
        <v>1069</v>
      </c>
      <c r="AK190" s="223">
        <f>IFERROR(Plant_BD[[#This Row],[Breakdown Time]]*Plant_BD[[#This Row],[Plant Equivalent Weightage]],"")</f>
        <v>0.19132931882124637</v>
      </c>
      <c r="AL190" s="6">
        <v>0.56000000000000005</v>
      </c>
      <c r="AM190" s="221">
        <f>_xlfn.XLOOKUP($G190,'Modelling New'!$D:$D,'Modelling New'!$O:$O)*Plant_BD[[#This Row],[Lost PoA(kWh/m2)]]*Plant_BD[[#This Row],[DC Capacity Affected (kW)]]</f>
        <v>994.84716213678973</v>
      </c>
      <c r="AN190" s="6"/>
      <c r="AO190" s="6"/>
      <c r="AP190" s="224"/>
    </row>
    <row r="191" spans="1:42" x14ac:dyDescent="0.3">
      <c r="A191" s="171">
        <f t="shared" si="2"/>
        <v>190</v>
      </c>
      <c r="B191" s="200">
        <v>45756</v>
      </c>
      <c r="C191" s="212">
        <f>YEAR(Plant_BD[[#This Row],[Date]])+IF(MONTH(Plant_BD[[#This Row],[Date]])&gt;=4,1,0)</f>
        <v>2026</v>
      </c>
      <c r="D191" s="212">
        <f>YEAR(Plant_BD[[#This Row],[Date]])</f>
        <v>2025</v>
      </c>
      <c r="E191" s="77" t="s">
        <v>1070</v>
      </c>
      <c r="F191" s="77" t="s">
        <v>1070</v>
      </c>
      <c r="G191" s="213">
        <f>Plant_BD[[#This Row],[Date]]-DAY(Plant_BD[[#This Row],[Date]])+1</f>
        <v>45748</v>
      </c>
      <c r="H191" s="3">
        <f>DAY(EOMONTH(Plant_BD[[#This Row],[Month Year]],0))</f>
        <v>30</v>
      </c>
      <c r="I191" s="214">
        <f>_xlfn.XLOOKUP(Plant_BD[[#This Row],[Date]],'Raw Data'!$G:$G,'Raw Data'!$I:$I)</f>
        <v>0.25694444444444442</v>
      </c>
      <c r="J191" s="214">
        <f>_xlfn.XLOOKUP(Plant_BD[[#This Row],[Date]],'Raw Data'!$G:$G,'Raw Data'!$J:$J)</f>
        <v>0.76666666666666672</v>
      </c>
      <c r="K191" s="215">
        <f>IFERROR((Plant_BD[[#This Row],[Sunset Time (POA&lt;20 W/m2)]]-Plant_BD[[#This Row],[Sunrise Time (POA&gt;20 W/m2)]])*24,"")</f>
        <v>12.233333333333334</v>
      </c>
      <c r="L191" s="215"/>
      <c r="M191" s="215"/>
      <c r="N191" s="215"/>
      <c r="O191" s="215"/>
      <c r="P191" s="215"/>
      <c r="Q191" s="215"/>
      <c r="R191" s="215"/>
      <c r="S191" s="215"/>
      <c r="T191" s="216" t="s">
        <v>219</v>
      </c>
      <c r="U191" s="16">
        <f>IFERROR(_xlfn.XLOOKUP(Plant_BD[[#This Row],[Affected Equipment]],'Basic Data'!$A:$A,'Basic Data'!$B:$B),"")</f>
        <v>669.6</v>
      </c>
      <c r="V191" s="217">
        <f>IFERROR(_xlfn.XLOOKUP(Plant_BD[[#This Row],[Affected Equipment]],'Basic Data'!$A:$A,'Basic Data'!$C:$C),"")</f>
        <v>8.348190352703562E-2</v>
      </c>
      <c r="W191" s="218" t="s">
        <v>311</v>
      </c>
      <c r="X191" s="218" t="s">
        <v>1076</v>
      </c>
      <c r="Y191" s="218"/>
      <c r="Z191" s="219" t="s">
        <v>1076</v>
      </c>
      <c r="AA191" s="220">
        <v>0.59444444444444444</v>
      </c>
      <c r="AB191" s="220"/>
      <c r="AC191" s="220"/>
      <c r="AD191" s="220">
        <v>0.76666666666666672</v>
      </c>
      <c r="AE191" s="221">
        <f>IF(Plant_BD[[#This Row],[Acknowledgement Time ]]="NA","",(Plant_BD[[#This Row],[Acknowledgement Time ]]-Plant_BD[[#This Row],[Fault Time]])*24)</f>
        <v>-14.266666666666666</v>
      </c>
      <c r="AF191" s="221">
        <f>IF(Plant_BD[[#This Row],[Work Start time on Fault]]="NA","",(Plant_BD[[#This Row],[Work Start time on Fault]]-Plant_BD[[#This Row],[Fault Time]])*24)</f>
        <v>-14.266666666666666</v>
      </c>
      <c r="AG191" s="17">
        <f>(Plant_BD[[#This Row],[Work Completion time on fault]]-Plant_BD[[#This Row],[Fault Time]])*24</f>
        <v>4.1333333333333346</v>
      </c>
      <c r="AH191" s="17">
        <f>IFERROR((Plant_BD[[#This Row],[Work Completion time on fault]]-Plant_BD[[#This Row],[Fault Time]])*24,"")</f>
        <v>4.1333333333333346</v>
      </c>
      <c r="AI191" s="222" t="s">
        <v>1072</v>
      </c>
      <c r="AJ191" s="6" t="s">
        <v>1068</v>
      </c>
      <c r="AK191" s="223">
        <f>IFERROR(Plant_BD[[#This Row],[Breakdown Time]]*Plant_BD[[#This Row],[Plant Equivalent Weightage]],"")</f>
        <v>0.34505853457841401</v>
      </c>
      <c r="AL191" s="6">
        <v>1.36</v>
      </c>
      <c r="AM191" s="221">
        <f>_xlfn.XLOOKUP($G191,'Modelling New'!$D:$D,'Modelling New'!$O:$O)*Plant_BD[[#This Row],[Lost PoA(kWh/m2)]]*Plant_BD[[#This Row],[DC Capacity Affected (kW)]]</f>
        <v>614.94299485411852</v>
      </c>
      <c r="AN191" s="6"/>
      <c r="AO191" s="6"/>
      <c r="AP191" s="224"/>
    </row>
    <row r="192" spans="1:42" x14ac:dyDescent="0.3">
      <c r="A192" s="171">
        <f t="shared" si="2"/>
        <v>191</v>
      </c>
      <c r="B192" s="200">
        <v>45756</v>
      </c>
      <c r="C192" s="212">
        <f>YEAR(Plant_BD[[#This Row],[Date]])+IF(MONTH(Plant_BD[[#This Row],[Date]])&gt;=4,1,0)</f>
        <v>2026</v>
      </c>
      <c r="D192" s="212">
        <f>YEAR(Plant_BD[[#This Row],[Date]])</f>
        <v>2025</v>
      </c>
      <c r="E192" s="77" t="s">
        <v>1070</v>
      </c>
      <c r="F192" s="77" t="s">
        <v>1070</v>
      </c>
      <c r="G192" s="213">
        <f>Plant_BD[[#This Row],[Date]]-DAY(Plant_BD[[#This Row],[Date]])+1</f>
        <v>45748</v>
      </c>
      <c r="H192" s="3">
        <f>DAY(EOMONTH(Plant_BD[[#This Row],[Month Year]],0))</f>
        <v>30</v>
      </c>
      <c r="I192" s="214">
        <f>_xlfn.XLOOKUP(Plant_BD[[#This Row],[Date]],'Raw Data'!$G:$G,'Raw Data'!$I:$I)</f>
        <v>0.25694444444444442</v>
      </c>
      <c r="J192" s="214">
        <f>_xlfn.XLOOKUP(Plant_BD[[#This Row],[Date]],'Raw Data'!$G:$G,'Raw Data'!$J:$J)</f>
        <v>0.76666666666666672</v>
      </c>
      <c r="K192" s="215">
        <f>IFERROR((Plant_BD[[#This Row],[Sunset Time (POA&lt;20 W/m2)]]-Plant_BD[[#This Row],[Sunrise Time (POA&gt;20 W/m2)]])*24,"")</f>
        <v>12.233333333333334</v>
      </c>
      <c r="L192" s="215"/>
      <c r="M192" s="215"/>
      <c r="N192" s="215"/>
      <c r="O192" s="215"/>
      <c r="P192" s="215"/>
      <c r="Q192" s="215"/>
      <c r="R192" s="215"/>
      <c r="S192" s="215"/>
      <c r="T192" s="216" t="s">
        <v>226</v>
      </c>
      <c r="U192" s="16">
        <f>IFERROR(_xlfn.XLOOKUP(Plant_BD[[#This Row],[Affected Equipment]],'Basic Data'!$A:$A,'Basic Data'!$B:$B),"")</f>
        <v>658.8</v>
      </c>
      <c r="V192" s="217">
        <f>IFERROR(_xlfn.XLOOKUP(Plant_BD[[#This Row],[Affected Equipment]],'Basic Data'!$A:$A,'Basic Data'!$C:$C),"")</f>
        <v>8.2135421212083434E-2</v>
      </c>
      <c r="W192" s="218" t="s">
        <v>291</v>
      </c>
      <c r="X192" s="218" t="s">
        <v>1075</v>
      </c>
      <c r="Y192" s="218"/>
      <c r="Z192" s="219" t="s">
        <v>1075</v>
      </c>
      <c r="AA192" s="220">
        <v>0.58125000000000004</v>
      </c>
      <c r="AB192" s="220"/>
      <c r="AC192" s="220"/>
      <c r="AD192" s="220">
        <v>0.76666666666666672</v>
      </c>
      <c r="AE192" s="221">
        <f>IF(Plant_BD[[#This Row],[Acknowledgement Time ]]="NA","",(Plant_BD[[#This Row],[Acknowledgement Time ]]-Plant_BD[[#This Row],[Fault Time]])*24)</f>
        <v>-13.950000000000001</v>
      </c>
      <c r="AF192" s="221">
        <f>IF(Plant_BD[[#This Row],[Work Start time on Fault]]="NA","",(Plant_BD[[#This Row],[Work Start time on Fault]]-Plant_BD[[#This Row],[Fault Time]])*24)</f>
        <v>-13.950000000000001</v>
      </c>
      <c r="AG192" s="17">
        <f>(Plant_BD[[#This Row],[Work Completion time on fault]]-Plant_BD[[#This Row],[Fault Time]])*24</f>
        <v>4.45</v>
      </c>
      <c r="AH192" s="17">
        <f>IFERROR((Plant_BD[[#This Row],[Work Completion time on fault]]-Plant_BD[[#This Row],[Fault Time]])*24,"")</f>
        <v>4.45</v>
      </c>
      <c r="AI192" s="222" t="s">
        <v>1072</v>
      </c>
      <c r="AJ192" s="6" t="s">
        <v>1068</v>
      </c>
      <c r="AK192" s="223">
        <f>IFERROR(Plant_BD[[#This Row],[Breakdown Time]]*Plant_BD[[#This Row],[Plant Equivalent Weightage]],"")</f>
        <v>0.36550262439377129</v>
      </c>
      <c r="AL192" s="6">
        <v>1.36</v>
      </c>
      <c r="AM192" s="221">
        <f>_xlfn.XLOOKUP($G192,'Modelling New'!$D:$D,'Modelling New'!$O:$O)*Plant_BD[[#This Row],[Lost PoA(kWh/m2)]]*Plant_BD[[#This Row],[DC Capacity Affected (kW)]]</f>
        <v>605.02455945324562</v>
      </c>
      <c r="AN192" s="6"/>
      <c r="AO192" s="6"/>
      <c r="AP192" s="224"/>
    </row>
    <row r="193" spans="1:42" x14ac:dyDescent="0.3">
      <c r="A193" s="171">
        <f t="shared" si="2"/>
        <v>192</v>
      </c>
      <c r="B193" s="200">
        <v>45758</v>
      </c>
      <c r="C193" s="212">
        <f>YEAR(Plant_BD[[#This Row],[Date]])+IF(MONTH(Plant_BD[[#This Row],[Date]])&gt;=4,1,0)</f>
        <v>2026</v>
      </c>
      <c r="D193" s="212">
        <f>YEAR(Plant_BD[[#This Row],[Date]])</f>
        <v>2025</v>
      </c>
      <c r="E193" s="77" t="s">
        <v>1070</v>
      </c>
      <c r="F193" s="77" t="s">
        <v>1070</v>
      </c>
      <c r="G193" s="213">
        <f>Plant_BD[[#This Row],[Date]]-DAY(Plant_BD[[#This Row],[Date]])+1</f>
        <v>45748</v>
      </c>
      <c r="H193" s="3">
        <f>DAY(EOMONTH(Plant_BD[[#This Row],[Month Year]],0))</f>
        <v>30</v>
      </c>
      <c r="I193" s="214">
        <f>_xlfn.XLOOKUP(Plant_BD[[#This Row],[Date]],'Raw Data'!$G:$G,'Raw Data'!$I:$I)</f>
        <v>0.24861111111111112</v>
      </c>
      <c r="J193" s="214">
        <f>_xlfn.XLOOKUP(Plant_BD[[#This Row],[Date]],'Raw Data'!$G:$G,'Raw Data'!$J:$J)</f>
        <v>0.7680555555555556</v>
      </c>
      <c r="K193" s="215">
        <f>IFERROR((Plant_BD[[#This Row],[Sunset Time (POA&lt;20 W/m2)]]-Plant_BD[[#This Row],[Sunrise Time (POA&gt;20 W/m2)]])*24,"")</f>
        <v>12.466666666666669</v>
      </c>
      <c r="L193" s="215"/>
      <c r="M193" s="215"/>
      <c r="N193" s="215"/>
      <c r="O193" s="215"/>
      <c r="P193" s="215"/>
      <c r="Q193" s="215"/>
      <c r="R193" s="215"/>
      <c r="S193" s="215"/>
      <c r="T193" s="216" t="s">
        <v>168</v>
      </c>
      <c r="U193" s="16">
        <f>IFERROR(_xlfn.XLOOKUP(Plant_BD[[#This Row],[Affected Equipment]],'Basic Data'!$A:$A,'Basic Data'!$B:$B),"")</f>
        <v>2694.6</v>
      </c>
      <c r="V193" s="217">
        <f>IFERROR(_xlfn.XLOOKUP(Plant_BD[[#This Row],[Affected Equipment]],'Basic Data'!$A:$A,'Basic Data'!$C:$C),"")</f>
        <v>0.33594733758057077</v>
      </c>
      <c r="W193" s="218" t="s">
        <v>311</v>
      </c>
      <c r="X193" s="218" t="s">
        <v>1173</v>
      </c>
      <c r="Y193" s="218"/>
      <c r="Z193" s="219" t="s">
        <v>1173</v>
      </c>
      <c r="AA193" s="220">
        <v>0.55625000000000002</v>
      </c>
      <c r="AB193" s="220"/>
      <c r="AC193" s="220"/>
      <c r="AD193" s="220">
        <v>0.5708333333333333</v>
      </c>
      <c r="AE193" s="221">
        <f>IF(Plant_BD[[#This Row],[Acknowledgement Time ]]="NA","",(Plant_BD[[#This Row],[Acknowledgement Time ]]-Plant_BD[[#This Row],[Fault Time]])*24)</f>
        <v>-13.350000000000001</v>
      </c>
      <c r="AF193" s="221">
        <f>IF(Plant_BD[[#This Row],[Work Start time on Fault]]="NA","",(Plant_BD[[#This Row],[Work Start time on Fault]]-Plant_BD[[#This Row],[Fault Time]])*24)</f>
        <v>-13.350000000000001</v>
      </c>
      <c r="AG193" s="17">
        <f>(Plant_BD[[#This Row],[Work Completion time on fault]]-Plant_BD[[#This Row],[Fault Time]])*24</f>
        <v>0.34999999999999876</v>
      </c>
      <c r="AH193" s="17">
        <f>IFERROR((Plant_BD[[#This Row],[Work Completion time on fault]]-Plant_BD[[#This Row],[Fault Time]])*24,"")</f>
        <v>0.34999999999999876</v>
      </c>
      <c r="AI193" s="222" t="s">
        <v>1074</v>
      </c>
      <c r="AJ193" s="6" t="s">
        <v>1069</v>
      </c>
      <c r="AK193" s="223">
        <f>IFERROR(Plant_BD[[#This Row],[Breakdown Time]]*Plant_BD[[#This Row],[Plant Equivalent Weightage]],"")</f>
        <v>0.11758156815319935</v>
      </c>
      <c r="AL193" s="6">
        <v>0.3</v>
      </c>
      <c r="AM193" s="221">
        <f>_xlfn.XLOOKUP($G193,'Modelling New'!$D:$D,'Modelling New'!$O:$O)*Plant_BD[[#This Row],[Lost PoA(kWh/m2)]]*Plant_BD[[#This Row],[DC Capacity Affected (kW)]]</f>
        <v>545.87859540833438</v>
      </c>
      <c r="AN193" s="6"/>
      <c r="AO193" s="6"/>
      <c r="AP193" s="224"/>
    </row>
    <row r="194" spans="1:42" x14ac:dyDescent="0.3">
      <c r="A194" s="171">
        <f t="shared" si="2"/>
        <v>193</v>
      </c>
      <c r="B194" s="200">
        <v>45758</v>
      </c>
      <c r="C194" s="212">
        <f>YEAR(Plant_BD[[#This Row],[Date]])+IF(MONTH(Plant_BD[[#This Row],[Date]])&gt;=4,1,0)</f>
        <v>2026</v>
      </c>
      <c r="D194" s="212">
        <f>YEAR(Plant_BD[[#This Row],[Date]])</f>
        <v>2025</v>
      </c>
      <c r="E194" s="77" t="s">
        <v>1070</v>
      </c>
      <c r="F194" s="77" t="s">
        <v>1070</v>
      </c>
      <c r="G194" s="213">
        <f>Plant_BD[[#This Row],[Date]]-DAY(Plant_BD[[#This Row],[Date]])+1</f>
        <v>45748</v>
      </c>
      <c r="H194" s="3">
        <f>DAY(EOMONTH(Plant_BD[[#This Row],[Month Year]],0))</f>
        <v>30</v>
      </c>
      <c r="I194" s="214">
        <f>_xlfn.XLOOKUP(Plant_BD[[#This Row],[Date]],'Raw Data'!$G:$G,'Raw Data'!$I:$I)</f>
        <v>0.24861111111111112</v>
      </c>
      <c r="J194" s="214">
        <f>_xlfn.XLOOKUP(Plant_BD[[#This Row],[Date]],'Raw Data'!$G:$G,'Raw Data'!$J:$J)</f>
        <v>0.7680555555555556</v>
      </c>
      <c r="K194" s="215">
        <f>IFERROR((Plant_BD[[#This Row],[Sunset Time (POA&lt;20 W/m2)]]-Plant_BD[[#This Row],[Sunrise Time (POA&gt;20 W/m2)]])*24,"")</f>
        <v>12.466666666666669</v>
      </c>
      <c r="L194" s="215"/>
      <c r="M194" s="215"/>
      <c r="N194" s="215"/>
      <c r="O194" s="215"/>
      <c r="P194" s="215"/>
      <c r="Q194" s="215"/>
      <c r="R194" s="215"/>
      <c r="S194" s="215"/>
      <c r="T194" s="216" t="s">
        <v>169</v>
      </c>
      <c r="U194" s="16">
        <f>IFERROR(_xlfn.XLOOKUP(Plant_BD[[#This Row],[Affected Equipment]],'Basic Data'!$A:$A,'Basic Data'!$B:$B),"")</f>
        <v>2630.8</v>
      </c>
      <c r="V194" s="217">
        <f>IFERROR(_xlfn.XLOOKUP(Plant_BD[[#This Row],[Affected Equipment]],'Basic Data'!$A:$A,'Basic Data'!$C:$C),"")</f>
        <v>0.32799311797927916</v>
      </c>
      <c r="W194" s="218" t="s">
        <v>291</v>
      </c>
      <c r="X194" s="218" t="s">
        <v>1173</v>
      </c>
      <c r="Y194" s="218"/>
      <c r="Z194" s="219" t="s">
        <v>1173</v>
      </c>
      <c r="AA194" s="220">
        <v>0.55972222222222223</v>
      </c>
      <c r="AB194" s="220"/>
      <c r="AC194" s="220"/>
      <c r="AD194" s="220">
        <v>0.58194444444444449</v>
      </c>
      <c r="AE194" s="221">
        <f>IF(Plant_BD[[#This Row],[Acknowledgement Time ]]="NA","",(Plant_BD[[#This Row],[Acknowledgement Time ]]-Plant_BD[[#This Row],[Fault Time]])*24)</f>
        <v>-13.433333333333334</v>
      </c>
      <c r="AF194" s="221">
        <f>IF(Plant_BD[[#This Row],[Work Start time on Fault]]="NA","",(Plant_BD[[#This Row],[Work Start time on Fault]]-Plant_BD[[#This Row],[Fault Time]])*24)</f>
        <v>-13.433333333333334</v>
      </c>
      <c r="AG194" s="17">
        <f>(Plant_BD[[#This Row],[Work Completion time on fault]]-Plant_BD[[#This Row],[Fault Time]])*24</f>
        <v>0.5333333333333341</v>
      </c>
      <c r="AH194" s="17">
        <f>IFERROR((Plant_BD[[#This Row],[Work Completion time on fault]]-Plant_BD[[#This Row],[Fault Time]])*24,"")</f>
        <v>0.5333333333333341</v>
      </c>
      <c r="AI194" s="222" t="s">
        <v>1074</v>
      </c>
      <c r="AJ194" s="6" t="s">
        <v>1069</v>
      </c>
      <c r="AK194" s="223">
        <f>IFERROR(Plant_BD[[#This Row],[Breakdown Time]]*Plant_BD[[#This Row],[Plant Equivalent Weightage]],"")</f>
        <v>0.17492966292228246</v>
      </c>
      <c r="AL194" s="6">
        <v>0.45</v>
      </c>
      <c r="AM194" s="221">
        <f>_xlfn.XLOOKUP($G194,'Modelling New'!$D:$D,'Modelling New'!$O:$O)*Plant_BD[[#This Row],[Lost PoA(kWh/m2)]]*Plant_BD[[#This Row],[DC Capacity Affected (kW)]]</f>
        <v>799.4307552884917</v>
      </c>
      <c r="AN194" s="6"/>
      <c r="AO194" s="6"/>
      <c r="AP194" s="224"/>
    </row>
    <row r="195" spans="1:42" x14ac:dyDescent="0.3">
      <c r="A195" s="171">
        <f t="shared" si="2"/>
        <v>194</v>
      </c>
      <c r="B195" s="200">
        <v>45759</v>
      </c>
      <c r="C195" s="212">
        <f>YEAR(Plant_BD[[#This Row],[Date]])+IF(MONTH(Plant_BD[[#This Row],[Date]])&gt;=4,1,0)</f>
        <v>2026</v>
      </c>
      <c r="D195" s="212">
        <f>YEAR(Plant_BD[[#This Row],[Date]])</f>
        <v>2025</v>
      </c>
      <c r="E195" s="77" t="s">
        <v>1070</v>
      </c>
      <c r="F195" s="77" t="s">
        <v>1070</v>
      </c>
      <c r="G195" s="213">
        <f>Plant_BD[[#This Row],[Date]]-DAY(Plant_BD[[#This Row],[Date]])+1</f>
        <v>45748</v>
      </c>
      <c r="H195" s="3">
        <f>DAY(EOMONTH(Plant_BD[[#This Row],[Month Year]],0))</f>
        <v>30</v>
      </c>
      <c r="I195" s="214">
        <f>_xlfn.XLOOKUP(Plant_BD[[#This Row],[Date]],'Raw Data'!$G:$G,'Raw Data'!$I:$I)</f>
        <v>0.25347222222222221</v>
      </c>
      <c r="J195" s="214">
        <f>_xlfn.XLOOKUP(Plant_BD[[#This Row],[Date]],'Raw Data'!$G:$G,'Raw Data'!$J:$J)</f>
        <v>0.76736111111111116</v>
      </c>
      <c r="K195" s="215">
        <f>IFERROR((Plant_BD[[#This Row],[Sunset Time (POA&lt;20 W/m2)]]-Plant_BD[[#This Row],[Sunrise Time (POA&gt;20 W/m2)]])*24,"")</f>
        <v>12.333333333333336</v>
      </c>
      <c r="L195" s="215"/>
      <c r="M195" s="215"/>
      <c r="N195" s="215"/>
      <c r="O195" s="215"/>
      <c r="P195" s="215"/>
      <c r="Q195" s="215"/>
      <c r="R195" s="215"/>
      <c r="S195" s="215"/>
      <c r="T195" s="216" t="s">
        <v>168</v>
      </c>
      <c r="U195" s="16">
        <f>IFERROR(_xlfn.XLOOKUP(Plant_BD[[#This Row],[Affected Equipment]],'Basic Data'!$A:$A,'Basic Data'!$B:$B),"")</f>
        <v>2694.6</v>
      </c>
      <c r="V195" s="217">
        <f>IFERROR(_xlfn.XLOOKUP(Plant_BD[[#This Row],[Affected Equipment]],'Basic Data'!$A:$A,'Basic Data'!$C:$C),"")</f>
        <v>0.33594733758057077</v>
      </c>
      <c r="W195" s="218" t="s">
        <v>311</v>
      </c>
      <c r="X195" s="218" t="s">
        <v>1173</v>
      </c>
      <c r="Y195" s="218"/>
      <c r="Z195" s="219" t="s">
        <v>1173</v>
      </c>
      <c r="AA195" s="220">
        <v>0.54583333333333328</v>
      </c>
      <c r="AB195" s="220"/>
      <c r="AC195" s="220"/>
      <c r="AD195" s="220">
        <v>0.56111111111111112</v>
      </c>
      <c r="AE195" s="221">
        <f>IF(Plant_BD[[#This Row],[Acknowledgement Time ]]="NA","",(Plant_BD[[#This Row],[Acknowledgement Time ]]-Plant_BD[[#This Row],[Fault Time]])*24)</f>
        <v>-13.099999999999998</v>
      </c>
      <c r="AF195" s="221">
        <f>IF(Plant_BD[[#This Row],[Work Start time on Fault]]="NA","",(Plant_BD[[#This Row],[Work Start time on Fault]]-Plant_BD[[#This Row],[Fault Time]])*24)</f>
        <v>-13.099999999999998</v>
      </c>
      <c r="AG195" s="17">
        <f>(Plant_BD[[#This Row],[Work Completion time on fault]]-Plant_BD[[#This Row],[Fault Time]])*24</f>
        <v>0.36666666666666803</v>
      </c>
      <c r="AH195" s="17">
        <f>IFERROR((Plant_BD[[#This Row],[Work Completion time on fault]]-Plant_BD[[#This Row],[Fault Time]])*24,"")</f>
        <v>0.36666666666666803</v>
      </c>
      <c r="AI195" s="222" t="s">
        <v>1074</v>
      </c>
      <c r="AJ195" s="6" t="s">
        <v>1069</v>
      </c>
      <c r="AK195" s="223">
        <f>IFERROR(Plant_BD[[#This Row],[Breakdown Time]]*Plant_BD[[#This Row],[Plant Equivalent Weightage]],"")</f>
        <v>0.12318069044620975</v>
      </c>
      <c r="AL195" s="6">
        <v>0.33</v>
      </c>
      <c r="AM195" s="221">
        <f>_xlfn.XLOOKUP($G195,'Modelling New'!$D:$D,'Modelling New'!$O:$O)*Plant_BD[[#This Row],[Lost PoA(kWh/m2)]]*Plant_BD[[#This Row],[DC Capacity Affected (kW)]]</f>
        <v>600.46645494916788</v>
      </c>
      <c r="AN195" s="6"/>
      <c r="AO195" s="6"/>
      <c r="AP195" s="224"/>
    </row>
    <row r="196" spans="1:42" x14ac:dyDescent="0.3">
      <c r="A196" s="171">
        <f t="shared" ref="A196:A212" si="3">A195+1</f>
        <v>195</v>
      </c>
      <c r="B196" s="200">
        <v>45759</v>
      </c>
      <c r="C196" s="212">
        <f>YEAR(Plant_BD[[#This Row],[Date]])+IF(MONTH(Plant_BD[[#This Row],[Date]])&gt;=4,1,0)</f>
        <v>2026</v>
      </c>
      <c r="D196" s="212">
        <f>YEAR(Plant_BD[[#This Row],[Date]])</f>
        <v>2025</v>
      </c>
      <c r="E196" s="77" t="s">
        <v>1070</v>
      </c>
      <c r="F196" s="77" t="s">
        <v>1070</v>
      </c>
      <c r="G196" s="213">
        <f>Plant_BD[[#This Row],[Date]]-DAY(Plant_BD[[#This Row],[Date]])+1</f>
        <v>45748</v>
      </c>
      <c r="H196" s="3">
        <f>DAY(EOMONTH(Plant_BD[[#This Row],[Month Year]],0))</f>
        <v>30</v>
      </c>
      <c r="I196" s="214">
        <f>_xlfn.XLOOKUP(Plant_BD[[#This Row],[Date]],'Raw Data'!$G:$G,'Raw Data'!$I:$I)</f>
        <v>0.25347222222222221</v>
      </c>
      <c r="J196" s="214">
        <f>_xlfn.XLOOKUP(Plant_BD[[#This Row],[Date]],'Raw Data'!$G:$G,'Raw Data'!$J:$J)</f>
        <v>0.76736111111111116</v>
      </c>
      <c r="K196" s="215">
        <f>IFERROR((Plant_BD[[#This Row],[Sunset Time (POA&lt;20 W/m2)]]-Plant_BD[[#This Row],[Sunrise Time (POA&gt;20 W/m2)]])*24,"")</f>
        <v>12.333333333333336</v>
      </c>
      <c r="L196" s="215"/>
      <c r="M196" s="215"/>
      <c r="N196" s="215"/>
      <c r="O196" s="215"/>
      <c r="P196" s="215"/>
      <c r="Q196" s="215"/>
      <c r="R196" s="215"/>
      <c r="S196" s="215"/>
      <c r="T196" s="216" t="s">
        <v>169</v>
      </c>
      <c r="U196" s="16">
        <f>IFERROR(_xlfn.XLOOKUP(Plant_BD[[#This Row],[Affected Equipment]],'Basic Data'!$A:$A,'Basic Data'!$B:$B),"")</f>
        <v>2630.8</v>
      </c>
      <c r="V196" s="217">
        <f>IFERROR(_xlfn.XLOOKUP(Plant_BD[[#This Row],[Affected Equipment]],'Basic Data'!$A:$A,'Basic Data'!$C:$C),"")</f>
        <v>0.32799311797927916</v>
      </c>
      <c r="W196" s="218" t="s">
        <v>291</v>
      </c>
      <c r="X196" s="218" t="s">
        <v>1173</v>
      </c>
      <c r="Y196" s="218"/>
      <c r="Z196" s="219" t="s">
        <v>1173</v>
      </c>
      <c r="AA196" s="220">
        <v>0.54166666666666663</v>
      </c>
      <c r="AB196" s="220"/>
      <c r="AC196" s="220"/>
      <c r="AD196" s="220">
        <v>0.5625</v>
      </c>
      <c r="AE196" s="221">
        <f>IF(Plant_BD[[#This Row],[Acknowledgement Time ]]="NA","",(Plant_BD[[#This Row],[Acknowledgement Time ]]-Plant_BD[[#This Row],[Fault Time]])*24)</f>
        <v>-13</v>
      </c>
      <c r="AF196" s="221">
        <f>IF(Plant_BD[[#This Row],[Work Start time on Fault]]="NA","",(Plant_BD[[#This Row],[Work Start time on Fault]]-Plant_BD[[#This Row],[Fault Time]])*24)</f>
        <v>-13</v>
      </c>
      <c r="AG196" s="17">
        <f>(Plant_BD[[#This Row],[Work Completion time on fault]]-Plant_BD[[#This Row],[Fault Time]])*24</f>
        <v>0.50000000000000089</v>
      </c>
      <c r="AH196" s="17">
        <f>IFERROR((Plant_BD[[#This Row],[Work Completion time on fault]]-Plant_BD[[#This Row],[Fault Time]])*24,"")</f>
        <v>0.50000000000000089</v>
      </c>
      <c r="AI196" s="222" t="s">
        <v>1074</v>
      </c>
      <c r="AJ196" s="6" t="s">
        <v>1069</v>
      </c>
      <c r="AK196" s="223">
        <f>IFERROR(Plant_BD[[#This Row],[Breakdown Time]]*Plant_BD[[#This Row],[Plant Equivalent Weightage]],"")</f>
        <v>0.16399655898963986</v>
      </c>
      <c r="AL196" s="6">
        <v>0.45</v>
      </c>
      <c r="AM196" s="221">
        <f>_xlfn.XLOOKUP($G196,'Modelling New'!$D:$D,'Modelling New'!$O:$O)*Plant_BD[[#This Row],[Lost PoA(kWh/m2)]]*Plant_BD[[#This Row],[DC Capacity Affected (kW)]]</f>
        <v>799.4307552884917</v>
      </c>
      <c r="AN196" s="6"/>
      <c r="AO196" s="6"/>
      <c r="AP196" s="224"/>
    </row>
    <row r="197" spans="1:42" x14ac:dyDescent="0.3">
      <c r="A197" s="171">
        <f t="shared" si="3"/>
        <v>196</v>
      </c>
      <c r="B197" s="200">
        <v>45760</v>
      </c>
      <c r="C197" s="212">
        <f>YEAR(Plant_BD[[#This Row],[Date]])+IF(MONTH(Plant_BD[[#This Row],[Date]])&gt;=4,1,0)</f>
        <v>2026</v>
      </c>
      <c r="D197" s="212">
        <f>YEAR(Plant_BD[[#This Row],[Date]])</f>
        <v>2025</v>
      </c>
      <c r="E197" s="77" t="s">
        <v>1070</v>
      </c>
      <c r="F197" s="77" t="s">
        <v>1070</v>
      </c>
      <c r="G197" s="213">
        <f>Plant_BD[[#This Row],[Date]]-DAY(Plant_BD[[#This Row],[Date]])+1</f>
        <v>45748</v>
      </c>
      <c r="H197" s="3">
        <f>DAY(EOMONTH(Plant_BD[[#This Row],[Month Year]],0))</f>
        <v>30</v>
      </c>
      <c r="I197" s="214">
        <f>_xlfn.XLOOKUP(Plant_BD[[#This Row],[Date]],'Raw Data'!$G:$G,'Raw Data'!$I:$I)</f>
        <v>0.25138888888888888</v>
      </c>
      <c r="J197" s="214">
        <f>_xlfn.XLOOKUP(Plant_BD[[#This Row],[Date]],'Raw Data'!$G:$G,'Raw Data'!$J:$J)</f>
        <v>0.76875000000000004</v>
      </c>
      <c r="K197" s="215">
        <f>IFERROR((Plant_BD[[#This Row],[Sunset Time (POA&lt;20 W/m2)]]-Plant_BD[[#This Row],[Sunrise Time (POA&gt;20 W/m2)]])*24,"")</f>
        <v>12.416666666666668</v>
      </c>
      <c r="L197" s="215"/>
      <c r="M197" s="215"/>
      <c r="N197" s="215"/>
      <c r="O197" s="215"/>
      <c r="P197" s="215"/>
      <c r="Q197" s="215"/>
      <c r="R197" s="215"/>
      <c r="S197" s="215"/>
      <c r="T197" s="216" t="s">
        <v>169</v>
      </c>
      <c r="U197" s="16">
        <f>IFERROR(_xlfn.XLOOKUP(Plant_BD[[#This Row],[Affected Equipment]],'Basic Data'!$A:$A,'Basic Data'!$B:$B),"")</f>
        <v>2630.8</v>
      </c>
      <c r="V197" s="217">
        <f>IFERROR(_xlfn.XLOOKUP(Plant_BD[[#This Row],[Affected Equipment]],'Basic Data'!$A:$A,'Basic Data'!$C:$C),"")</f>
        <v>0.32799311797927916</v>
      </c>
      <c r="W197" s="218" t="s">
        <v>291</v>
      </c>
      <c r="X197" s="218" t="s">
        <v>1173</v>
      </c>
      <c r="Y197" s="218"/>
      <c r="Z197" s="219" t="s">
        <v>1173</v>
      </c>
      <c r="AA197" s="220">
        <v>0.53888888888888886</v>
      </c>
      <c r="AB197" s="220"/>
      <c r="AC197" s="220"/>
      <c r="AD197" s="220">
        <v>0.54791666666666672</v>
      </c>
      <c r="AE197" s="221">
        <f>IF(Plant_BD[[#This Row],[Acknowledgement Time ]]="NA","",(Plant_BD[[#This Row],[Acknowledgement Time ]]-Plant_BD[[#This Row],[Fault Time]])*24)</f>
        <v>-12.933333333333334</v>
      </c>
      <c r="AF197" s="221">
        <f>IF(Plant_BD[[#This Row],[Work Start time on Fault]]="NA","",(Plant_BD[[#This Row],[Work Start time on Fault]]-Plant_BD[[#This Row],[Fault Time]])*24)</f>
        <v>-12.933333333333334</v>
      </c>
      <c r="AG197" s="17">
        <f>(Plant_BD[[#This Row],[Work Completion time on fault]]-Plant_BD[[#This Row],[Fault Time]])*24</f>
        <v>0.21666666666666856</v>
      </c>
      <c r="AH197" s="17">
        <f>IFERROR((Plant_BD[[#This Row],[Work Completion time on fault]]-Plant_BD[[#This Row],[Fault Time]])*24,"")</f>
        <v>0.21666666666666856</v>
      </c>
      <c r="AI197" s="222" t="s">
        <v>1074</v>
      </c>
      <c r="AJ197" s="6" t="s">
        <v>1069</v>
      </c>
      <c r="AK197" s="223">
        <f>IFERROR(Plant_BD[[#This Row],[Breakdown Time]]*Plant_BD[[#This Row],[Plant Equivalent Weightage]],"")</f>
        <v>7.1065175562177771E-2</v>
      </c>
      <c r="AL197" s="6">
        <v>0.21</v>
      </c>
      <c r="AM197" s="221">
        <f>_xlfn.XLOOKUP($G197,'Modelling New'!$D:$D,'Modelling New'!$O:$O)*Plant_BD[[#This Row],[Lost PoA(kWh/m2)]]*Plant_BD[[#This Row],[DC Capacity Affected (kW)]]</f>
        <v>373.06768580129608</v>
      </c>
      <c r="AN197" s="6"/>
      <c r="AO197" s="6"/>
      <c r="AP197" s="224"/>
    </row>
    <row r="198" spans="1:42" x14ac:dyDescent="0.3">
      <c r="A198" s="171">
        <f t="shared" si="3"/>
        <v>197</v>
      </c>
      <c r="B198" s="200">
        <v>45760</v>
      </c>
      <c r="C198" s="212">
        <f>YEAR(Plant_BD[[#This Row],[Date]])+IF(MONTH(Plant_BD[[#This Row],[Date]])&gt;=4,1,0)</f>
        <v>2026</v>
      </c>
      <c r="D198" s="212">
        <f>YEAR(Plant_BD[[#This Row],[Date]])</f>
        <v>2025</v>
      </c>
      <c r="E198" s="77" t="s">
        <v>1070</v>
      </c>
      <c r="F198" s="77" t="s">
        <v>1070</v>
      </c>
      <c r="G198" s="213">
        <f>Plant_BD[[#This Row],[Date]]-DAY(Plant_BD[[#This Row],[Date]])+1</f>
        <v>45748</v>
      </c>
      <c r="H198" s="3">
        <f>DAY(EOMONTH(Plant_BD[[#This Row],[Month Year]],0))</f>
        <v>30</v>
      </c>
      <c r="I198" s="214">
        <f>_xlfn.XLOOKUP(Plant_BD[[#This Row],[Date]],'Raw Data'!$G:$G,'Raw Data'!$I:$I)</f>
        <v>0.25138888888888888</v>
      </c>
      <c r="J198" s="214">
        <f>_xlfn.XLOOKUP(Plant_BD[[#This Row],[Date]],'Raw Data'!$G:$G,'Raw Data'!$J:$J)</f>
        <v>0.76875000000000004</v>
      </c>
      <c r="K198" s="215">
        <f>IFERROR((Plant_BD[[#This Row],[Sunset Time (POA&lt;20 W/m2)]]-Plant_BD[[#This Row],[Sunrise Time (POA&gt;20 W/m2)]])*24,"")</f>
        <v>12.416666666666668</v>
      </c>
      <c r="L198" s="215"/>
      <c r="M198" s="215"/>
      <c r="N198" s="215"/>
      <c r="O198" s="215"/>
      <c r="P198" s="215"/>
      <c r="Q198" s="215"/>
      <c r="R198" s="215"/>
      <c r="S198" s="215"/>
      <c r="T198" s="216" t="s">
        <v>168</v>
      </c>
      <c r="U198" s="16">
        <f>IFERROR(_xlfn.XLOOKUP(Plant_BD[[#This Row],[Affected Equipment]],'Basic Data'!$A:$A,'Basic Data'!$B:$B),"")</f>
        <v>2694.6</v>
      </c>
      <c r="V198" s="217">
        <f>IFERROR(_xlfn.XLOOKUP(Plant_BD[[#This Row],[Affected Equipment]],'Basic Data'!$A:$A,'Basic Data'!$C:$C),"")</f>
        <v>0.33594733758057077</v>
      </c>
      <c r="W198" s="218" t="s">
        <v>311</v>
      </c>
      <c r="X198" s="218" t="s">
        <v>1173</v>
      </c>
      <c r="Y198" s="218"/>
      <c r="Z198" s="219" t="s">
        <v>1173</v>
      </c>
      <c r="AA198" s="220">
        <v>0.55000000000000004</v>
      </c>
      <c r="AB198" s="220"/>
      <c r="AC198" s="220"/>
      <c r="AD198" s="220">
        <v>0.55486111111111114</v>
      </c>
      <c r="AE198" s="221">
        <f>IF(Plant_BD[[#This Row],[Acknowledgement Time ]]="NA","",(Plant_BD[[#This Row],[Acknowledgement Time ]]-Plant_BD[[#This Row],[Fault Time]])*24)</f>
        <v>-13.200000000000001</v>
      </c>
      <c r="AF198" s="221">
        <f>IF(Plant_BD[[#This Row],[Work Start time on Fault]]="NA","",(Plant_BD[[#This Row],[Work Start time on Fault]]-Plant_BD[[#This Row],[Fault Time]])*24)</f>
        <v>-13.200000000000001</v>
      </c>
      <c r="AG198" s="17">
        <f>(Plant_BD[[#This Row],[Work Completion time on fault]]-Plant_BD[[#This Row],[Fault Time]])*24</f>
        <v>0.11666666666666625</v>
      </c>
      <c r="AH198" s="17">
        <f>IFERROR((Plant_BD[[#This Row],[Work Completion time on fault]]-Plant_BD[[#This Row],[Fault Time]])*24,"")</f>
        <v>0.11666666666666625</v>
      </c>
      <c r="AI198" s="222" t="s">
        <v>1074</v>
      </c>
      <c r="AJ198" s="6" t="s">
        <v>1069</v>
      </c>
      <c r="AK198" s="223">
        <f>IFERROR(Plant_BD[[#This Row],[Breakdown Time]]*Plant_BD[[#This Row],[Plant Equivalent Weightage]],"")</f>
        <v>3.9193856051066449E-2</v>
      </c>
      <c r="AL198" s="6">
        <v>0.12</v>
      </c>
      <c r="AM198" s="221">
        <f>_xlfn.XLOOKUP($G198,'Modelling New'!$D:$D,'Modelling New'!$O:$O)*Plant_BD[[#This Row],[Lost PoA(kWh/m2)]]*Plant_BD[[#This Row],[DC Capacity Affected (kW)]]</f>
        <v>218.3514381633338</v>
      </c>
      <c r="AN198" s="6"/>
      <c r="AO198" s="6"/>
      <c r="AP198" s="224"/>
    </row>
    <row r="199" spans="1:42" x14ac:dyDescent="0.3">
      <c r="A199" s="171">
        <f t="shared" si="3"/>
        <v>198</v>
      </c>
      <c r="B199" s="200">
        <v>45760</v>
      </c>
      <c r="C199" s="212">
        <f>YEAR(Plant_BD[[#This Row],[Date]])+IF(MONTH(Plant_BD[[#This Row],[Date]])&gt;=4,1,0)</f>
        <v>2026</v>
      </c>
      <c r="D199" s="212">
        <f>YEAR(Plant_BD[[#This Row],[Date]])</f>
        <v>2025</v>
      </c>
      <c r="E199" s="77" t="s">
        <v>1070</v>
      </c>
      <c r="F199" s="77" t="s">
        <v>1070</v>
      </c>
      <c r="G199" s="213">
        <f>Plant_BD[[#This Row],[Date]]-DAY(Plant_BD[[#This Row],[Date]])+1</f>
        <v>45748</v>
      </c>
      <c r="H199" s="3">
        <f>DAY(EOMONTH(Plant_BD[[#This Row],[Month Year]],0))</f>
        <v>30</v>
      </c>
      <c r="I199" s="214">
        <f>_xlfn.XLOOKUP(Plant_BD[[#This Row],[Date]],'Raw Data'!$G:$G,'Raw Data'!$I:$I)</f>
        <v>0.25138888888888888</v>
      </c>
      <c r="J199" s="214">
        <f>_xlfn.XLOOKUP(Plant_BD[[#This Row],[Date]],'Raw Data'!$G:$G,'Raw Data'!$J:$J)</f>
        <v>0.76875000000000004</v>
      </c>
      <c r="K199" s="215">
        <f>IFERROR((Plant_BD[[#This Row],[Sunset Time (POA&lt;20 W/m2)]]-Plant_BD[[#This Row],[Sunrise Time (POA&gt;20 W/m2)]])*24,"")</f>
        <v>12.416666666666668</v>
      </c>
      <c r="L199" s="215"/>
      <c r="M199" s="215"/>
      <c r="N199" s="215"/>
      <c r="O199" s="215"/>
      <c r="P199" s="215"/>
      <c r="Q199" s="215"/>
      <c r="R199" s="215"/>
      <c r="S199" s="215"/>
      <c r="T199" s="216" t="s">
        <v>168</v>
      </c>
      <c r="U199" s="16">
        <f>IFERROR(_xlfn.XLOOKUP(Plant_BD[[#This Row],[Affected Equipment]],'Basic Data'!$A:$A,'Basic Data'!$B:$B),"")</f>
        <v>2694.6</v>
      </c>
      <c r="V199" s="217">
        <f>IFERROR(_xlfn.XLOOKUP(Plant_BD[[#This Row],[Affected Equipment]],'Basic Data'!$A:$A,'Basic Data'!$C:$C),"")</f>
        <v>0.33594733758057077</v>
      </c>
      <c r="W199" s="218" t="s">
        <v>311</v>
      </c>
      <c r="X199" s="218" t="s">
        <v>1173</v>
      </c>
      <c r="Y199" s="218"/>
      <c r="Z199" s="219" t="s">
        <v>1173</v>
      </c>
      <c r="AA199" s="220">
        <v>0.56458333333333333</v>
      </c>
      <c r="AB199" s="220"/>
      <c r="AC199" s="220"/>
      <c r="AD199" s="220">
        <v>0.56874999999999998</v>
      </c>
      <c r="AE199" s="221">
        <f>IF(Plant_BD[[#This Row],[Acknowledgement Time ]]="NA","",(Plant_BD[[#This Row],[Acknowledgement Time ]]-Plant_BD[[#This Row],[Fault Time]])*24)</f>
        <v>-13.55</v>
      </c>
      <c r="AF199" s="221">
        <f>IF(Plant_BD[[#This Row],[Work Start time on Fault]]="NA","",(Plant_BD[[#This Row],[Work Start time on Fault]]-Plant_BD[[#This Row],[Fault Time]])*24)</f>
        <v>-13.55</v>
      </c>
      <c r="AG199" s="17">
        <f>(Plant_BD[[#This Row],[Work Completion time on fault]]-Plant_BD[[#This Row],[Fault Time]])*24</f>
        <v>9.9999999999999645E-2</v>
      </c>
      <c r="AH199" s="17">
        <f>IFERROR((Plant_BD[[#This Row],[Work Completion time on fault]]-Plant_BD[[#This Row],[Fault Time]])*24,"")</f>
        <v>9.9999999999999645E-2</v>
      </c>
      <c r="AI199" s="222" t="s">
        <v>1074</v>
      </c>
      <c r="AJ199" s="6" t="s">
        <v>1069</v>
      </c>
      <c r="AK199" s="223">
        <f>IFERROR(Plant_BD[[#This Row],[Breakdown Time]]*Plant_BD[[#This Row],[Plant Equivalent Weightage]],"")</f>
        <v>3.3594733758056959E-2</v>
      </c>
      <c r="AL199" s="6">
        <v>0.11</v>
      </c>
      <c r="AM199" s="221">
        <f>_xlfn.XLOOKUP($G199,'Modelling New'!$D:$D,'Modelling New'!$O:$O)*Plant_BD[[#This Row],[Lost PoA(kWh/m2)]]*Plant_BD[[#This Row],[DC Capacity Affected (kW)]]</f>
        <v>200.155484983056</v>
      </c>
      <c r="AN199" s="6"/>
      <c r="AO199" s="6"/>
      <c r="AP199" s="224"/>
    </row>
    <row r="200" spans="1:42" x14ac:dyDescent="0.3">
      <c r="A200" s="171">
        <f t="shared" si="3"/>
        <v>199</v>
      </c>
      <c r="B200" s="200">
        <v>45761</v>
      </c>
      <c r="C200" s="212">
        <f>YEAR(Plant_BD[[#This Row],[Date]])+IF(MONTH(Plant_BD[[#This Row],[Date]])&gt;=4,1,0)</f>
        <v>2026</v>
      </c>
      <c r="D200" s="212">
        <f>YEAR(Plant_BD[[#This Row],[Date]])</f>
        <v>2025</v>
      </c>
      <c r="E200" s="77" t="s">
        <v>1070</v>
      </c>
      <c r="F200" s="77" t="s">
        <v>1070</v>
      </c>
      <c r="G200" s="213">
        <f>Plant_BD[[#This Row],[Date]]-DAY(Plant_BD[[#This Row],[Date]])+1</f>
        <v>45748</v>
      </c>
      <c r="H200" s="3">
        <f>DAY(EOMONTH(Plant_BD[[#This Row],[Month Year]],0))</f>
        <v>30</v>
      </c>
      <c r="I200" s="214">
        <f>_xlfn.XLOOKUP(Plant_BD[[#This Row],[Date]],'Raw Data'!$G:$G,'Raw Data'!$I:$I)</f>
        <v>0.25069444444444444</v>
      </c>
      <c r="J200" s="214">
        <f>_xlfn.XLOOKUP(Plant_BD[[#This Row],[Date]],'Raw Data'!$G:$G,'Raw Data'!$J:$J)</f>
        <v>0.77013888888888893</v>
      </c>
      <c r="K200" s="215">
        <f>IFERROR((Plant_BD[[#This Row],[Sunset Time (POA&lt;20 W/m2)]]-Plant_BD[[#This Row],[Sunrise Time (POA&gt;20 W/m2)]])*24,"")</f>
        <v>12.466666666666669</v>
      </c>
      <c r="L200" s="215"/>
      <c r="M200" s="215"/>
      <c r="N200" s="215"/>
      <c r="O200" s="215"/>
      <c r="P200" s="215"/>
      <c r="Q200" s="215"/>
      <c r="R200" s="215"/>
      <c r="S200" s="215"/>
      <c r="T200" s="216" t="s">
        <v>168</v>
      </c>
      <c r="U200" s="16">
        <f>IFERROR(_xlfn.XLOOKUP(Plant_BD[[#This Row],[Affected Equipment]],'Basic Data'!$A:$A,'Basic Data'!$B:$B),"")</f>
        <v>2694.6</v>
      </c>
      <c r="V200" s="217">
        <f>IFERROR(_xlfn.XLOOKUP(Plant_BD[[#This Row],[Affected Equipment]],'Basic Data'!$A:$A,'Basic Data'!$C:$C),"")</f>
        <v>0.33594733758057077</v>
      </c>
      <c r="W200" s="218" t="s">
        <v>311</v>
      </c>
      <c r="X200" s="218" t="s">
        <v>1173</v>
      </c>
      <c r="Y200" s="218"/>
      <c r="Z200" s="219" t="s">
        <v>1173</v>
      </c>
      <c r="AA200" s="220">
        <v>0.52708333333333335</v>
      </c>
      <c r="AB200" s="220"/>
      <c r="AC200" s="220"/>
      <c r="AD200" s="220">
        <v>0.54097222222222219</v>
      </c>
      <c r="AE200" s="221">
        <f>IF(Plant_BD[[#This Row],[Acknowledgement Time ]]="NA","",(Plant_BD[[#This Row],[Acknowledgement Time ]]-Plant_BD[[#This Row],[Fault Time]])*24)</f>
        <v>-12.65</v>
      </c>
      <c r="AF200" s="221">
        <f>IF(Plant_BD[[#This Row],[Work Start time on Fault]]="NA","",(Plant_BD[[#This Row],[Work Start time on Fault]]-Plant_BD[[#This Row],[Fault Time]])*24)</f>
        <v>-12.65</v>
      </c>
      <c r="AG200" s="17">
        <f>(Plant_BD[[#This Row],[Work Completion time on fault]]-Plant_BD[[#This Row],[Fault Time]])*24</f>
        <v>0.33333333333333215</v>
      </c>
      <c r="AH200" s="17">
        <f>IFERROR((Plant_BD[[#This Row],[Work Completion time on fault]]-Plant_BD[[#This Row],[Fault Time]])*24,"")</f>
        <v>0.33333333333333215</v>
      </c>
      <c r="AI200" s="222" t="s">
        <v>1074</v>
      </c>
      <c r="AJ200" s="6" t="s">
        <v>1069</v>
      </c>
      <c r="AK200" s="223">
        <f>IFERROR(Plant_BD[[#This Row],[Breakdown Time]]*Plant_BD[[#This Row],[Plant Equivalent Weightage]],"")</f>
        <v>0.11198244586018986</v>
      </c>
      <c r="AL200" s="6">
        <v>0.33</v>
      </c>
      <c r="AM200" s="221">
        <f>_xlfn.XLOOKUP($G200,'Modelling New'!$D:$D,'Modelling New'!$O:$O)*Plant_BD[[#This Row],[Lost PoA(kWh/m2)]]*Plant_BD[[#This Row],[DC Capacity Affected (kW)]]</f>
        <v>600.46645494916788</v>
      </c>
      <c r="AN200" s="6"/>
      <c r="AO200" s="6"/>
      <c r="AP200" s="224"/>
    </row>
    <row r="201" spans="1:42" x14ac:dyDescent="0.3">
      <c r="A201" s="171">
        <f t="shared" si="3"/>
        <v>200</v>
      </c>
      <c r="B201" s="200">
        <v>45761</v>
      </c>
      <c r="C201" s="212">
        <f>YEAR(Plant_BD[[#This Row],[Date]])+IF(MONTH(Plant_BD[[#This Row],[Date]])&gt;=4,1,0)</f>
        <v>2026</v>
      </c>
      <c r="D201" s="212">
        <f>YEAR(Plant_BD[[#This Row],[Date]])</f>
        <v>2025</v>
      </c>
      <c r="E201" s="77" t="s">
        <v>1070</v>
      </c>
      <c r="F201" s="77" t="s">
        <v>1070</v>
      </c>
      <c r="G201" s="213">
        <f>Plant_BD[[#This Row],[Date]]-DAY(Plant_BD[[#This Row],[Date]])+1</f>
        <v>45748</v>
      </c>
      <c r="H201" s="3">
        <f>DAY(EOMONTH(Plant_BD[[#This Row],[Month Year]],0))</f>
        <v>30</v>
      </c>
      <c r="I201" s="214">
        <f>_xlfn.XLOOKUP(Plant_BD[[#This Row],[Date]],'Raw Data'!$G:$G,'Raw Data'!$I:$I)</f>
        <v>0.25069444444444444</v>
      </c>
      <c r="J201" s="214">
        <f>_xlfn.XLOOKUP(Plant_BD[[#This Row],[Date]],'Raw Data'!$G:$G,'Raw Data'!$J:$J)</f>
        <v>0.77013888888888893</v>
      </c>
      <c r="K201" s="215">
        <f>IFERROR((Plant_BD[[#This Row],[Sunset Time (POA&lt;20 W/m2)]]-Plant_BD[[#This Row],[Sunrise Time (POA&gt;20 W/m2)]])*24,"")</f>
        <v>12.466666666666669</v>
      </c>
      <c r="L201" s="215"/>
      <c r="M201" s="215"/>
      <c r="N201" s="215"/>
      <c r="O201" s="215"/>
      <c r="P201" s="215"/>
      <c r="Q201" s="215"/>
      <c r="R201" s="215"/>
      <c r="S201" s="215"/>
      <c r="T201" s="216" t="s">
        <v>169</v>
      </c>
      <c r="U201" s="16">
        <f>IFERROR(_xlfn.XLOOKUP(Plant_BD[[#This Row],[Affected Equipment]],'Basic Data'!$A:$A,'Basic Data'!$B:$B),"")</f>
        <v>2630.8</v>
      </c>
      <c r="V201" s="217">
        <f>IFERROR(_xlfn.XLOOKUP(Plant_BD[[#This Row],[Affected Equipment]],'Basic Data'!$A:$A,'Basic Data'!$C:$C),"")</f>
        <v>0.32799311797927916</v>
      </c>
      <c r="W201" s="218" t="s">
        <v>291</v>
      </c>
      <c r="X201" s="218" t="s">
        <v>1173</v>
      </c>
      <c r="Y201" s="218"/>
      <c r="Z201" s="219" t="s">
        <v>1173</v>
      </c>
      <c r="AA201" s="220">
        <v>0.52638888888888891</v>
      </c>
      <c r="AB201" s="220"/>
      <c r="AC201" s="220"/>
      <c r="AD201" s="220">
        <v>0.55069444444444449</v>
      </c>
      <c r="AE201" s="221">
        <f>IF(Plant_BD[[#This Row],[Acknowledgement Time ]]="NA","",(Plant_BD[[#This Row],[Acknowledgement Time ]]-Plant_BD[[#This Row],[Fault Time]])*24)</f>
        <v>-12.633333333333333</v>
      </c>
      <c r="AF201" s="221">
        <f>IF(Plant_BD[[#This Row],[Work Start time on Fault]]="NA","",(Plant_BD[[#This Row],[Work Start time on Fault]]-Plant_BD[[#This Row],[Fault Time]])*24)</f>
        <v>-12.633333333333333</v>
      </c>
      <c r="AG201" s="17">
        <f>(Plant_BD[[#This Row],[Work Completion time on fault]]-Plant_BD[[#This Row],[Fault Time]])*24</f>
        <v>0.58333333333333393</v>
      </c>
      <c r="AH201" s="17">
        <f>IFERROR((Plant_BD[[#This Row],[Work Completion time on fault]]-Plant_BD[[#This Row],[Fault Time]])*24,"")</f>
        <v>0.58333333333333393</v>
      </c>
      <c r="AI201" s="222" t="s">
        <v>1074</v>
      </c>
      <c r="AJ201" s="6" t="s">
        <v>1069</v>
      </c>
      <c r="AK201" s="223">
        <f>IFERROR(Plant_BD[[#This Row],[Breakdown Time]]*Plant_BD[[#This Row],[Plant Equivalent Weightage]],"")</f>
        <v>0.19132931882124637</v>
      </c>
      <c r="AL201" s="6">
        <v>0.56000000000000005</v>
      </c>
      <c r="AM201" s="221">
        <f>_xlfn.XLOOKUP($G201,'Modelling New'!$D:$D,'Modelling New'!$O:$O)*Plant_BD[[#This Row],[Lost PoA(kWh/m2)]]*Plant_BD[[#This Row],[DC Capacity Affected (kW)]]</f>
        <v>994.84716213678973</v>
      </c>
      <c r="AN201" s="6"/>
      <c r="AO201" s="6"/>
      <c r="AP201" s="224"/>
    </row>
    <row r="202" spans="1:42" x14ac:dyDescent="0.3">
      <c r="A202" s="171">
        <f t="shared" si="3"/>
        <v>201</v>
      </c>
      <c r="B202" s="200">
        <v>45762</v>
      </c>
      <c r="C202" s="212">
        <f>YEAR(Plant_BD[[#This Row],[Date]])+IF(MONTH(Plant_BD[[#This Row],[Date]])&gt;=4,1,0)</f>
        <v>2026</v>
      </c>
      <c r="D202" s="212">
        <f>YEAR(Plant_BD[[#This Row],[Date]])</f>
        <v>2025</v>
      </c>
      <c r="E202" s="77" t="s">
        <v>1070</v>
      </c>
      <c r="F202" s="77" t="s">
        <v>1070</v>
      </c>
      <c r="G202" s="213">
        <f>Plant_BD[[#This Row],[Date]]-DAY(Plant_BD[[#This Row],[Date]])+1</f>
        <v>45748</v>
      </c>
      <c r="H202" s="3">
        <f>DAY(EOMONTH(Plant_BD[[#This Row],[Month Year]],0))</f>
        <v>30</v>
      </c>
      <c r="I202" s="214">
        <f>_xlfn.XLOOKUP(Plant_BD[[#This Row],[Date]],'Raw Data'!$G:$G,'Raw Data'!$I:$I)</f>
        <v>0.25069444444444444</v>
      </c>
      <c r="J202" s="214">
        <f>_xlfn.XLOOKUP(Plant_BD[[#This Row],[Date]],'Raw Data'!$G:$G,'Raw Data'!$J:$J)</f>
        <v>0.77569444444444446</v>
      </c>
      <c r="K202" s="215">
        <f>IFERROR((Plant_BD[[#This Row],[Sunset Time (POA&lt;20 W/m2)]]-Plant_BD[[#This Row],[Sunrise Time (POA&gt;20 W/m2)]])*24,"")</f>
        <v>12.600000000000001</v>
      </c>
      <c r="L202" s="215"/>
      <c r="M202" s="215"/>
      <c r="N202" s="215"/>
      <c r="O202" s="215"/>
      <c r="P202" s="215"/>
      <c r="Q202" s="215"/>
      <c r="R202" s="215"/>
      <c r="S202" s="215"/>
      <c r="T202" s="216" t="s">
        <v>169</v>
      </c>
      <c r="U202" s="16">
        <f>IFERROR(_xlfn.XLOOKUP(Plant_BD[[#This Row],[Affected Equipment]],'Basic Data'!$A:$A,'Basic Data'!$B:$B),"")</f>
        <v>2630.8</v>
      </c>
      <c r="V202" s="217">
        <f>IFERROR(_xlfn.XLOOKUP(Plant_BD[[#This Row],[Affected Equipment]],'Basic Data'!$A:$A,'Basic Data'!$C:$C),"")</f>
        <v>0.32799311797927916</v>
      </c>
      <c r="W202" s="218" t="s">
        <v>291</v>
      </c>
      <c r="X202" s="218" t="s">
        <v>1173</v>
      </c>
      <c r="Y202" s="218"/>
      <c r="Z202" s="219" t="s">
        <v>1173</v>
      </c>
      <c r="AA202" s="220">
        <v>0.52430555555555558</v>
      </c>
      <c r="AB202" s="220"/>
      <c r="AC202" s="220"/>
      <c r="AD202" s="220">
        <v>0.53472222222222221</v>
      </c>
      <c r="AE202" s="221">
        <f>IF(Plant_BD[[#This Row],[Acknowledgement Time ]]="NA","",(Plant_BD[[#This Row],[Acknowledgement Time ]]-Plant_BD[[#This Row],[Fault Time]])*24)</f>
        <v>-12.583333333333334</v>
      </c>
      <c r="AF202" s="221">
        <f>IF(Plant_BD[[#This Row],[Work Start time on Fault]]="NA","",(Plant_BD[[#This Row],[Work Start time on Fault]]-Plant_BD[[#This Row],[Fault Time]])*24)</f>
        <v>-12.583333333333334</v>
      </c>
      <c r="AG202" s="17">
        <f>(Plant_BD[[#This Row],[Work Completion time on fault]]-Plant_BD[[#This Row],[Fault Time]])*24</f>
        <v>0.24999999999999911</v>
      </c>
      <c r="AH202" s="17">
        <f>IFERROR((Plant_BD[[#This Row],[Work Completion time on fault]]-Plant_BD[[#This Row],[Fault Time]])*24,"")</f>
        <v>0.24999999999999911</v>
      </c>
      <c r="AI202" s="222" t="s">
        <v>1074</v>
      </c>
      <c r="AJ202" s="6" t="s">
        <v>1069</v>
      </c>
      <c r="AK202" s="223">
        <f>IFERROR(Plant_BD[[#This Row],[Breakdown Time]]*Plant_BD[[#This Row],[Plant Equivalent Weightage]],"")</f>
        <v>8.1998279494819498E-2</v>
      </c>
      <c r="AL202" s="6">
        <v>0.23</v>
      </c>
      <c r="AM202" s="221">
        <f>_xlfn.XLOOKUP($G202,'Modelling New'!$D:$D,'Modelling New'!$O:$O)*Plant_BD[[#This Row],[Lost PoA(kWh/m2)]]*Plant_BD[[#This Row],[DC Capacity Affected (kW)]]</f>
        <v>408.59794159189579</v>
      </c>
      <c r="AN202" s="6"/>
      <c r="AO202" s="6"/>
      <c r="AP202" s="224"/>
    </row>
    <row r="203" spans="1:42" x14ac:dyDescent="0.3">
      <c r="A203" s="171">
        <f t="shared" si="3"/>
        <v>202</v>
      </c>
      <c r="B203" s="200">
        <v>45763</v>
      </c>
      <c r="C203" s="212">
        <f>YEAR(Plant_BD[[#This Row],[Date]])+IF(MONTH(Plant_BD[[#This Row],[Date]])&gt;=4,1,0)</f>
        <v>2026</v>
      </c>
      <c r="D203" s="212">
        <f>YEAR(Plant_BD[[#This Row],[Date]])</f>
        <v>2025</v>
      </c>
      <c r="E203" s="77" t="s">
        <v>1070</v>
      </c>
      <c r="F203" s="77" t="s">
        <v>1070</v>
      </c>
      <c r="G203" s="213">
        <f>Plant_BD[[#This Row],[Date]]-DAY(Plant_BD[[#This Row],[Date]])+1</f>
        <v>45748</v>
      </c>
      <c r="H203" s="3">
        <f>DAY(EOMONTH(Plant_BD[[#This Row],[Month Year]],0))</f>
        <v>30</v>
      </c>
      <c r="I203" s="214">
        <f>_xlfn.XLOOKUP(Plant_BD[[#This Row],[Date]],'Raw Data'!$G:$G,'Raw Data'!$I:$I)</f>
        <v>0.25</v>
      </c>
      <c r="J203" s="214">
        <f>_xlfn.XLOOKUP(Plant_BD[[#This Row],[Date]],'Raw Data'!$G:$G,'Raw Data'!$J:$J)</f>
        <v>0.77083333333333337</v>
      </c>
      <c r="K203" s="215">
        <f>IFERROR((Plant_BD[[#This Row],[Sunset Time (POA&lt;20 W/m2)]]-Plant_BD[[#This Row],[Sunrise Time (POA&gt;20 W/m2)]])*24,"")</f>
        <v>12.5</v>
      </c>
      <c r="L203" s="215"/>
      <c r="M203" s="215"/>
      <c r="N203" s="215"/>
      <c r="O203" s="215"/>
      <c r="P203" s="215"/>
      <c r="Q203" s="215"/>
      <c r="R203" s="215"/>
      <c r="S203" s="215"/>
      <c r="T203" s="216" t="s">
        <v>168</v>
      </c>
      <c r="U203" s="16">
        <f>IFERROR(_xlfn.XLOOKUP(Plant_BD[[#This Row],[Affected Equipment]],'Basic Data'!$A:$A,'Basic Data'!$B:$B),"")</f>
        <v>2694.6</v>
      </c>
      <c r="V203" s="217">
        <f>IFERROR(_xlfn.XLOOKUP(Plant_BD[[#This Row],[Affected Equipment]],'Basic Data'!$A:$A,'Basic Data'!$C:$C),"")</f>
        <v>0.33594733758057077</v>
      </c>
      <c r="W203" s="218" t="s">
        <v>311</v>
      </c>
      <c r="X203" s="218" t="s">
        <v>313</v>
      </c>
      <c r="Y203" s="218"/>
      <c r="Z203" s="219" t="s">
        <v>313</v>
      </c>
      <c r="AA203" s="220">
        <v>0.63611111111111107</v>
      </c>
      <c r="AB203" s="220"/>
      <c r="AC203" s="220"/>
      <c r="AD203" s="220">
        <v>0.65972222222222221</v>
      </c>
      <c r="AE203" s="221">
        <f>IF(Plant_BD[[#This Row],[Acknowledgement Time ]]="NA","",(Plant_BD[[#This Row],[Acknowledgement Time ]]-Plant_BD[[#This Row],[Fault Time]])*24)</f>
        <v>-15.266666666666666</v>
      </c>
      <c r="AF203" s="221">
        <f>IF(Plant_BD[[#This Row],[Work Start time on Fault]]="NA","",(Plant_BD[[#This Row],[Work Start time on Fault]]-Plant_BD[[#This Row],[Fault Time]])*24)</f>
        <v>-15.266666666666666</v>
      </c>
      <c r="AG203" s="17">
        <f>(Plant_BD[[#This Row],[Work Completion time on fault]]-Plant_BD[[#This Row],[Fault Time]])*24</f>
        <v>0.56666666666666732</v>
      </c>
      <c r="AH203" s="17">
        <f>IFERROR((Plant_BD[[#This Row],[Work Completion time on fault]]-Plant_BD[[#This Row],[Fault Time]])*24,"")</f>
        <v>0.56666666666666732</v>
      </c>
      <c r="AI203" s="222" t="s">
        <v>1074</v>
      </c>
      <c r="AJ203" s="6" t="s">
        <v>1069</v>
      </c>
      <c r="AK203" s="223">
        <f>IFERROR(Plant_BD[[#This Row],[Breakdown Time]]*Plant_BD[[#This Row],[Plant Equivalent Weightage]],"")</f>
        <v>0.19037015796232365</v>
      </c>
      <c r="AL203" s="6">
        <v>0.27</v>
      </c>
      <c r="AM203" s="221">
        <f>_xlfn.XLOOKUP($G203,'Modelling New'!$D:$D,'Modelling New'!$O:$O)*Plant_BD[[#This Row],[Lost PoA(kWh/m2)]]*Plant_BD[[#This Row],[DC Capacity Affected (kW)]]</f>
        <v>491.2907358675011</v>
      </c>
      <c r="AN203" s="6"/>
      <c r="AO203" s="6"/>
      <c r="AP203" s="224"/>
    </row>
    <row r="204" spans="1:42" x14ac:dyDescent="0.3">
      <c r="A204" s="171">
        <f t="shared" si="3"/>
        <v>203</v>
      </c>
      <c r="B204" s="200">
        <v>45776</v>
      </c>
      <c r="C204" s="212">
        <f>YEAR(Plant_BD[[#This Row],[Date]])+IF(MONTH(Plant_BD[[#This Row],[Date]])&gt;=4,1,0)</f>
        <v>2026</v>
      </c>
      <c r="D204" s="212">
        <f>YEAR(Plant_BD[[#This Row],[Date]])</f>
        <v>2025</v>
      </c>
      <c r="E204" s="77" t="s">
        <v>1070</v>
      </c>
      <c r="F204" s="77" t="s">
        <v>1070</v>
      </c>
      <c r="G204" s="213">
        <f>Plant_BD[[#This Row],[Date]]-DAY(Plant_BD[[#This Row],[Date]])+1</f>
        <v>45748</v>
      </c>
      <c r="H204" s="3">
        <f>DAY(EOMONTH(Plant_BD[[#This Row],[Month Year]],0))</f>
        <v>30</v>
      </c>
      <c r="I204" s="214">
        <f>_xlfn.XLOOKUP(Plant_BD[[#This Row],[Date]],'Raw Data'!$G:$G,'Raw Data'!$I:$I)</f>
        <v>0.25208333333333333</v>
      </c>
      <c r="J204" s="214">
        <f>_xlfn.XLOOKUP(Plant_BD[[#This Row],[Date]],'Raw Data'!$G:$G,'Raw Data'!$J:$J)</f>
        <v>0.77708333333333335</v>
      </c>
      <c r="K204" s="215">
        <f>IFERROR((Plant_BD[[#This Row],[Sunset Time (POA&lt;20 W/m2)]]-Plant_BD[[#This Row],[Sunrise Time (POA&gt;20 W/m2)]])*24,"")</f>
        <v>12.600000000000001</v>
      </c>
      <c r="L204" s="215"/>
      <c r="M204" s="215"/>
      <c r="N204" s="215"/>
      <c r="O204" s="215"/>
      <c r="P204" s="215"/>
      <c r="Q204" s="215"/>
      <c r="R204" s="215"/>
      <c r="S204" s="215"/>
      <c r="T204" s="216" t="s">
        <v>169</v>
      </c>
      <c r="U204" s="16">
        <f>IFERROR(_xlfn.XLOOKUP(Plant_BD[[#This Row],[Affected Equipment]],'Basic Data'!$A:$A,'Basic Data'!$B:$B),"")</f>
        <v>2630.8</v>
      </c>
      <c r="V204" s="217">
        <f>IFERROR(_xlfn.XLOOKUP(Plant_BD[[#This Row],[Affected Equipment]],'Basic Data'!$A:$A,'Basic Data'!$C:$C),"")</f>
        <v>0.32799311797927916</v>
      </c>
      <c r="W204" s="218" t="s">
        <v>291</v>
      </c>
      <c r="X204" s="218" t="s">
        <v>313</v>
      </c>
      <c r="Y204" s="218"/>
      <c r="Z204" s="219" t="s">
        <v>313</v>
      </c>
      <c r="AA204" s="220">
        <v>0.65972222222222221</v>
      </c>
      <c r="AB204" s="220"/>
      <c r="AC204" s="220"/>
      <c r="AD204" s="220">
        <v>0.67500000000000004</v>
      </c>
      <c r="AE204" s="221">
        <f>IF(Plant_BD[[#This Row],[Acknowledgement Time ]]="NA","",(Plant_BD[[#This Row],[Acknowledgement Time ]]-Plant_BD[[#This Row],[Fault Time]])*24)</f>
        <v>-15.833333333333332</v>
      </c>
      <c r="AF204" s="221">
        <f>IF(Plant_BD[[#This Row],[Work Start time on Fault]]="NA","",(Plant_BD[[#This Row],[Work Start time on Fault]]-Plant_BD[[#This Row],[Fault Time]])*24)</f>
        <v>-15.833333333333332</v>
      </c>
      <c r="AG204" s="17">
        <f>(Plant_BD[[#This Row],[Work Completion time on fault]]-Plant_BD[[#This Row],[Fault Time]])*24</f>
        <v>0.36666666666666803</v>
      </c>
      <c r="AH204" s="17">
        <f>IFERROR((Plant_BD[[#This Row],[Work Completion time on fault]]-Plant_BD[[#This Row],[Fault Time]])*24,"")</f>
        <v>0.36666666666666803</v>
      </c>
      <c r="AI204" s="222" t="s">
        <v>1074</v>
      </c>
      <c r="AJ204" s="6" t="s">
        <v>1069</v>
      </c>
      <c r="AK204" s="223">
        <f>IFERROR(Plant_BD[[#This Row],[Breakdown Time]]*Plant_BD[[#This Row],[Plant Equivalent Weightage]],"")</f>
        <v>0.12026414325906948</v>
      </c>
      <c r="AL204" s="6">
        <v>0.04</v>
      </c>
      <c r="AM204" s="221">
        <f>_xlfn.XLOOKUP($G204,'Modelling New'!$D:$D,'Modelling New'!$O:$O)*Plant_BD[[#This Row],[Lost PoA(kWh/m2)]]*Plant_BD[[#This Row],[DC Capacity Affected (kW)]]</f>
        <v>71.060511581199265</v>
      </c>
      <c r="AN204" s="6"/>
      <c r="AO204" s="6"/>
      <c r="AP204" s="224"/>
    </row>
    <row r="205" spans="1:42" x14ac:dyDescent="0.3">
      <c r="A205" s="171">
        <f t="shared" si="3"/>
        <v>204</v>
      </c>
      <c r="B205" s="200">
        <v>45792</v>
      </c>
      <c r="C205" s="212">
        <f>YEAR(Plant_BD[[#This Row],[Date]])+IF(MONTH(Plant_BD[[#This Row],[Date]])&gt;=4,1,0)</f>
        <v>2026</v>
      </c>
      <c r="D205" s="212">
        <f>YEAR(Plant_BD[[#This Row],[Date]])</f>
        <v>2025</v>
      </c>
      <c r="E205" s="77" t="s">
        <v>1070</v>
      </c>
      <c r="F205" s="77" t="s">
        <v>1070</v>
      </c>
      <c r="G205" s="213">
        <f>Plant_BD[[#This Row],[Date]]-DAY(Plant_BD[[#This Row],[Date]])+1</f>
        <v>45778</v>
      </c>
      <c r="H205" s="3">
        <f>DAY(EOMONTH(Plant_BD[[#This Row],[Month Year]],0))</f>
        <v>31</v>
      </c>
      <c r="I205" s="214">
        <f>_xlfn.XLOOKUP(Plant_BD[[#This Row],[Date]],'Raw Data'!$G:$G,'Raw Data'!$I:$I)</f>
        <v>0.26874999999999999</v>
      </c>
      <c r="J205" s="214">
        <f>_xlfn.XLOOKUP(Plant_BD[[#This Row],[Date]],'Raw Data'!$G:$G,'Raw Data'!$J:$J)</f>
        <v>0.77708333333333335</v>
      </c>
      <c r="K205" s="215">
        <f>IFERROR((Plant_BD[[#This Row],[Sunset Time (POA&lt;20 W/m2)]]-Plant_BD[[#This Row],[Sunrise Time (POA&gt;20 W/m2)]])*24,"")</f>
        <v>12.2</v>
      </c>
      <c r="L205" s="215"/>
      <c r="M205" s="215"/>
      <c r="N205" s="215"/>
      <c r="O205" s="215"/>
      <c r="P205" s="215"/>
      <c r="Q205" s="215"/>
      <c r="R205" s="215"/>
      <c r="S205" s="215"/>
      <c r="T205" s="216" t="s">
        <v>169</v>
      </c>
      <c r="U205" s="16">
        <f>IFERROR(_xlfn.XLOOKUP(Plant_BD[[#This Row],[Affected Equipment]],'Basic Data'!$A:$A,'Basic Data'!$B:$B),"")</f>
        <v>2630.8</v>
      </c>
      <c r="V205" s="217">
        <f>IFERROR(_xlfn.XLOOKUP(Plant_BD[[#This Row],[Affected Equipment]],'Basic Data'!$A:$A,'Basic Data'!$C:$C),"")</f>
        <v>0.32799311797927916</v>
      </c>
      <c r="W205" s="218" t="s">
        <v>291</v>
      </c>
      <c r="X205" s="218" t="s">
        <v>313</v>
      </c>
      <c r="Y205" s="218"/>
      <c r="Z205" s="219" t="s">
        <v>313</v>
      </c>
      <c r="AA205" s="220">
        <v>0.31736111111111109</v>
      </c>
      <c r="AB205" s="220"/>
      <c r="AC205" s="220"/>
      <c r="AD205" s="220">
        <v>0.42986111111111114</v>
      </c>
      <c r="AE205" s="221">
        <f>IF(Plant_BD[[#This Row],[Acknowledgement Time ]]="NA","",(Plant_BD[[#This Row],[Acknowledgement Time ]]-Plant_BD[[#This Row],[Fault Time]])*24)</f>
        <v>-7.6166666666666663</v>
      </c>
      <c r="AF205" s="221">
        <f>IF(Plant_BD[[#This Row],[Work Start time on Fault]]="NA","",(Plant_BD[[#This Row],[Work Start time on Fault]]-Plant_BD[[#This Row],[Fault Time]])*24)</f>
        <v>-7.6166666666666663</v>
      </c>
      <c r="AG205" s="17">
        <f>(Plant_BD[[#This Row],[Work Completion time on fault]]-Plant_BD[[#This Row],[Fault Time]])*24</f>
        <v>2.7000000000000011</v>
      </c>
      <c r="AH205" s="17">
        <f>IFERROR((Plant_BD[[#This Row],[Work Completion time on fault]]-Plant_BD[[#This Row],[Fault Time]])*24,"")</f>
        <v>2.7000000000000011</v>
      </c>
      <c r="AI205" s="222" t="s">
        <v>1074</v>
      </c>
      <c r="AJ205" s="6" t="s">
        <v>1069</v>
      </c>
      <c r="AK205" s="223">
        <f>IFERROR(Plant_BD[[#This Row],[Breakdown Time]]*Plant_BD[[#This Row],[Plant Equivalent Weightage]],"")</f>
        <v>0.88558141854405403</v>
      </c>
      <c r="AL205" s="6">
        <v>0.21</v>
      </c>
      <c r="AM205" s="221">
        <f>_xlfn.XLOOKUP($G205,'Modelling New'!$D:$D,'Modelling New'!$O:$O)*Plant_BD[[#This Row],[Lost PoA(kWh/m2)]]*Plant_BD[[#This Row],[DC Capacity Affected (kW)]]</f>
        <v>384.63724273893541</v>
      </c>
      <c r="AN205" s="6"/>
      <c r="AO205" s="6"/>
      <c r="AP205" s="224"/>
    </row>
    <row r="206" spans="1:42" x14ac:dyDescent="0.3">
      <c r="A206" s="171">
        <f t="shared" si="3"/>
        <v>205</v>
      </c>
      <c r="B206" s="200">
        <v>45792</v>
      </c>
      <c r="C206" s="212">
        <f>YEAR(Plant_BD[[#This Row],[Date]])+IF(MONTH(Plant_BD[[#This Row],[Date]])&gt;=4,1,0)</f>
        <v>2026</v>
      </c>
      <c r="D206" s="212">
        <f>YEAR(Plant_BD[[#This Row],[Date]])</f>
        <v>2025</v>
      </c>
      <c r="E206" s="77" t="s">
        <v>1070</v>
      </c>
      <c r="F206" s="77" t="s">
        <v>1070</v>
      </c>
      <c r="G206" s="213">
        <f>Plant_BD[[#This Row],[Date]]-DAY(Plant_BD[[#This Row],[Date]])+1</f>
        <v>45778</v>
      </c>
      <c r="H206" s="3">
        <f>DAY(EOMONTH(Plant_BD[[#This Row],[Month Year]],0))</f>
        <v>31</v>
      </c>
      <c r="I206" s="214">
        <f>_xlfn.XLOOKUP(Plant_BD[[#This Row],[Date]],'Raw Data'!$G:$G,'Raw Data'!$I:$I)</f>
        <v>0.26874999999999999</v>
      </c>
      <c r="J206" s="214">
        <f>_xlfn.XLOOKUP(Plant_BD[[#This Row],[Date]],'Raw Data'!$G:$G,'Raw Data'!$J:$J)</f>
        <v>0.77708333333333335</v>
      </c>
      <c r="K206" s="215">
        <f>IFERROR((Plant_BD[[#This Row],[Sunset Time (POA&lt;20 W/m2)]]-Plant_BD[[#This Row],[Sunrise Time (POA&gt;20 W/m2)]])*24,"")</f>
        <v>12.2</v>
      </c>
      <c r="L206" s="215"/>
      <c r="M206" s="215"/>
      <c r="N206" s="215"/>
      <c r="O206" s="215"/>
      <c r="P206" s="215"/>
      <c r="Q206" s="215"/>
      <c r="R206" s="215"/>
      <c r="S206" s="215"/>
      <c r="T206" s="216" t="s">
        <v>170</v>
      </c>
      <c r="U206" s="16">
        <f>IFERROR(_xlfn.XLOOKUP(Plant_BD[[#This Row],[Affected Equipment]],'Basic Data'!$A:$A,'Basic Data'!$B:$B),"")</f>
        <v>2695.5</v>
      </c>
      <c r="V206" s="217">
        <f>IFERROR(_xlfn.XLOOKUP(Plant_BD[[#This Row],[Affected Equipment]],'Basic Data'!$A:$A,'Basic Data'!$C:$C),"")</f>
        <v>0.33605954444015013</v>
      </c>
      <c r="W206" s="218" t="s">
        <v>1187</v>
      </c>
      <c r="X206" s="218" t="s">
        <v>313</v>
      </c>
      <c r="Y206" s="218"/>
      <c r="Z206" s="219" t="s">
        <v>313</v>
      </c>
      <c r="AA206" s="220">
        <v>0.39305555555555555</v>
      </c>
      <c r="AB206" s="220"/>
      <c r="AC206" s="220"/>
      <c r="AD206" s="220">
        <v>0.44791666666666669</v>
      </c>
      <c r="AE206" s="221">
        <f>IF(Plant_BD[[#This Row],[Acknowledgement Time ]]="NA","",(Plant_BD[[#This Row],[Acknowledgement Time ]]-Plant_BD[[#This Row],[Fault Time]])*24)</f>
        <v>-9.4333333333333336</v>
      </c>
      <c r="AF206" s="221">
        <f>IF(Plant_BD[[#This Row],[Work Start time on Fault]]="NA","",(Plant_BD[[#This Row],[Work Start time on Fault]]-Plant_BD[[#This Row],[Fault Time]])*24)</f>
        <v>-9.4333333333333336</v>
      </c>
      <c r="AG206" s="17">
        <f>(Plant_BD[[#This Row],[Work Completion time on fault]]-Plant_BD[[#This Row],[Fault Time]])*24</f>
        <v>1.3166666666666673</v>
      </c>
      <c r="AH206" s="17">
        <f>IFERROR((Plant_BD[[#This Row],[Work Completion time on fault]]-Plant_BD[[#This Row],[Fault Time]])*24,"")</f>
        <v>1.3166666666666673</v>
      </c>
      <c r="AI206" s="222" t="s">
        <v>1074</v>
      </c>
      <c r="AJ206" s="6" t="s">
        <v>1069</v>
      </c>
      <c r="AK206" s="223">
        <f>IFERROR(Plant_BD[[#This Row],[Breakdown Time]]*Plant_BD[[#This Row],[Plant Equivalent Weightage]],"")</f>
        <v>0.44247840017953122</v>
      </c>
      <c r="AL206" s="6">
        <v>0.22</v>
      </c>
      <c r="AM206" s="221">
        <f>_xlfn.XLOOKUP($G206,'Modelling New'!$D:$D,'Modelling New'!$O:$O)*Plant_BD[[#This Row],[Lost PoA(kWh/m2)]]*Plant_BD[[#This Row],[DC Capacity Affected (kW)]]</f>
        <v>412.86324514110515</v>
      </c>
      <c r="AN206" s="6"/>
      <c r="AO206" s="6"/>
      <c r="AP206" s="224"/>
    </row>
    <row r="207" spans="1:42" x14ac:dyDescent="0.3">
      <c r="A207" s="171">
        <f t="shared" si="3"/>
        <v>206</v>
      </c>
      <c r="B207" s="200">
        <v>45792</v>
      </c>
      <c r="C207" s="212">
        <f>YEAR(Plant_BD[[#This Row],[Date]])+IF(MONTH(Plant_BD[[#This Row],[Date]])&gt;=4,1,0)</f>
        <v>2026</v>
      </c>
      <c r="D207" s="212">
        <f>YEAR(Plant_BD[[#This Row],[Date]])</f>
        <v>2025</v>
      </c>
      <c r="E207" s="77" t="s">
        <v>1070</v>
      </c>
      <c r="F207" s="77" t="s">
        <v>1070</v>
      </c>
      <c r="G207" s="213">
        <f>Plant_BD[[#This Row],[Date]]-DAY(Plant_BD[[#This Row],[Date]])+1</f>
        <v>45778</v>
      </c>
      <c r="H207" s="3">
        <f>DAY(EOMONTH(Plant_BD[[#This Row],[Month Year]],0))</f>
        <v>31</v>
      </c>
      <c r="I207" s="214">
        <f>_xlfn.XLOOKUP(Plant_BD[[#This Row],[Date]],'Raw Data'!$G:$G,'Raw Data'!$I:$I)</f>
        <v>0.26874999999999999</v>
      </c>
      <c r="J207" s="214">
        <f>_xlfn.XLOOKUP(Plant_BD[[#This Row],[Date]],'Raw Data'!$G:$G,'Raw Data'!$J:$J)</f>
        <v>0.77708333333333335</v>
      </c>
      <c r="K207" s="215">
        <f>IFERROR((Plant_BD[[#This Row],[Sunset Time (POA&lt;20 W/m2)]]-Plant_BD[[#This Row],[Sunrise Time (POA&gt;20 W/m2)]])*24,"")</f>
        <v>12.2</v>
      </c>
      <c r="L207" s="215"/>
      <c r="M207" s="215"/>
      <c r="N207" s="215"/>
      <c r="O207" s="215"/>
      <c r="P207" s="215"/>
      <c r="Q207" s="215"/>
      <c r="R207" s="215"/>
      <c r="S207" s="215"/>
      <c r="T207" s="216" t="s">
        <v>192</v>
      </c>
      <c r="U207" s="16">
        <f>IFERROR(_xlfn.XLOOKUP(Plant_BD[[#This Row],[Affected Equipment]],'Basic Data'!$A:$A,'Basic Data'!$B:$B),"")</f>
        <v>113.4</v>
      </c>
      <c r="V207" s="217">
        <f>IFERROR(_xlfn.XLOOKUP(Plant_BD[[#This Row],[Affected Equipment]],'Basic Data'!$A:$A,'Basic Data'!$C:$C),"")</f>
        <v>1.4138064306997969E-2</v>
      </c>
      <c r="W207" s="218" t="s">
        <v>291</v>
      </c>
      <c r="X207" s="218" t="s">
        <v>313</v>
      </c>
      <c r="Y207" s="218"/>
      <c r="Z207" s="219" t="s">
        <v>313</v>
      </c>
      <c r="AA207" s="220">
        <v>0.42986111111111114</v>
      </c>
      <c r="AB207" s="220"/>
      <c r="AC207" s="220"/>
      <c r="AD207" s="220">
        <v>0.53402777777777777</v>
      </c>
      <c r="AE207" s="221">
        <f>IF(Plant_BD[[#This Row],[Acknowledgement Time ]]="NA","",(Plant_BD[[#This Row],[Acknowledgement Time ]]-Plant_BD[[#This Row],[Fault Time]])*24)</f>
        <v>-10.316666666666666</v>
      </c>
      <c r="AF207" s="221">
        <f>IF(Plant_BD[[#This Row],[Work Start time on Fault]]="NA","",(Plant_BD[[#This Row],[Work Start time on Fault]]-Plant_BD[[#This Row],[Fault Time]])*24)</f>
        <v>-10.316666666666666</v>
      </c>
      <c r="AG207" s="17">
        <f>(Plant_BD[[#This Row],[Work Completion time on fault]]-Plant_BD[[#This Row],[Fault Time]])*24</f>
        <v>2.4999999999999991</v>
      </c>
      <c r="AH207" s="17">
        <f>IFERROR((Plant_BD[[#This Row],[Work Completion time on fault]]-Plant_BD[[#This Row],[Fault Time]])*24,"")</f>
        <v>2.4999999999999991</v>
      </c>
      <c r="AI207" s="222" t="s">
        <v>1188</v>
      </c>
      <c r="AJ207" s="6" t="s">
        <v>1069</v>
      </c>
      <c r="AK207" s="223">
        <f>IFERROR(Plant_BD[[#This Row],[Breakdown Time]]*Plant_BD[[#This Row],[Plant Equivalent Weightage]],"")</f>
        <v>3.5345160767494908E-2</v>
      </c>
      <c r="AL207" s="6">
        <v>0.88</v>
      </c>
      <c r="AM207" s="221">
        <f>_xlfn.XLOOKUP($G207,'Modelling New'!$D:$D,'Modelling New'!$O:$O)*Plant_BD[[#This Row],[Lost PoA(kWh/m2)]]*Plant_BD[[#This Row],[DC Capacity Affected (kW)]]</f>
        <v>69.476819883511524</v>
      </c>
      <c r="AN207" s="6"/>
      <c r="AO207" s="6"/>
      <c r="AP207" s="224"/>
    </row>
    <row r="208" spans="1:42" x14ac:dyDescent="0.3">
      <c r="A208" s="171">
        <f t="shared" si="3"/>
        <v>207</v>
      </c>
      <c r="B208" s="200">
        <v>45792</v>
      </c>
      <c r="C208" s="212">
        <f>YEAR(Plant_BD[[#This Row],[Date]])+IF(MONTH(Plant_BD[[#This Row],[Date]])&gt;=4,1,0)</f>
        <v>2026</v>
      </c>
      <c r="D208" s="212">
        <f>YEAR(Plant_BD[[#This Row],[Date]])</f>
        <v>2025</v>
      </c>
      <c r="E208" s="77" t="s">
        <v>1070</v>
      </c>
      <c r="F208" s="77" t="s">
        <v>1070</v>
      </c>
      <c r="G208" s="213">
        <f>Plant_BD[[#This Row],[Date]]-DAY(Plant_BD[[#This Row],[Date]])+1</f>
        <v>45778</v>
      </c>
      <c r="H208" s="3">
        <f>DAY(EOMONTH(Plant_BD[[#This Row],[Month Year]],0))</f>
        <v>31</v>
      </c>
      <c r="I208" s="214">
        <f>_xlfn.XLOOKUP(Plant_BD[[#This Row],[Date]],'Raw Data'!$G:$G,'Raw Data'!$I:$I)</f>
        <v>0.26874999999999999</v>
      </c>
      <c r="J208" s="214">
        <f>_xlfn.XLOOKUP(Plant_BD[[#This Row],[Date]],'Raw Data'!$G:$G,'Raw Data'!$J:$J)</f>
        <v>0.77708333333333335</v>
      </c>
      <c r="K208" s="215">
        <f>IFERROR((Plant_BD[[#This Row],[Sunset Time (POA&lt;20 W/m2)]]-Plant_BD[[#This Row],[Sunrise Time (POA&gt;20 W/m2)]])*24,"")</f>
        <v>12.2</v>
      </c>
      <c r="L208" s="215"/>
      <c r="M208" s="215"/>
      <c r="N208" s="215"/>
      <c r="O208" s="215"/>
      <c r="P208" s="215"/>
      <c r="Q208" s="215"/>
      <c r="R208" s="215"/>
      <c r="S208" s="215"/>
      <c r="T208" s="216" t="s">
        <v>203</v>
      </c>
      <c r="U208" s="16">
        <f>IFERROR(_xlfn.XLOOKUP(Plant_BD[[#This Row],[Affected Equipment]],'Basic Data'!$A:$A,'Basic Data'!$B:$B),"")</f>
        <v>109.8</v>
      </c>
      <c r="V208" s="217">
        <f>IFERROR(_xlfn.XLOOKUP(Plant_BD[[#This Row],[Affected Equipment]],'Basic Data'!$A:$A,'Basic Data'!$C:$C),"")</f>
        <v>1.3689236868680572E-2</v>
      </c>
      <c r="W208" s="218" t="s">
        <v>291</v>
      </c>
      <c r="X208" s="218" t="s">
        <v>313</v>
      </c>
      <c r="Y208" s="218"/>
      <c r="Z208" s="219" t="s">
        <v>313</v>
      </c>
      <c r="AA208" s="220">
        <v>0.42986111111111114</v>
      </c>
      <c r="AB208" s="220"/>
      <c r="AC208" s="220"/>
      <c r="AD208" s="220">
        <v>0.53402777777777777</v>
      </c>
      <c r="AE208" s="221">
        <f>IF(Plant_BD[[#This Row],[Acknowledgement Time ]]="NA","",(Plant_BD[[#This Row],[Acknowledgement Time ]]-Plant_BD[[#This Row],[Fault Time]])*24)</f>
        <v>-10.316666666666666</v>
      </c>
      <c r="AF208" s="221">
        <f>IF(Plant_BD[[#This Row],[Work Start time on Fault]]="NA","",(Plant_BD[[#This Row],[Work Start time on Fault]]-Plant_BD[[#This Row],[Fault Time]])*24)</f>
        <v>-10.316666666666666</v>
      </c>
      <c r="AG208" s="17">
        <f>(Plant_BD[[#This Row],[Work Completion time on fault]]-Plant_BD[[#This Row],[Fault Time]])*24</f>
        <v>2.4999999999999991</v>
      </c>
      <c r="AH208" s="17">
        <f>IFERROR((Plant_BD[[#This Row],[Work Completion time on fault]]-Plant_BD[[#This Row],[Fault Time]])*24,"")</f>
        <v>2.4999999999999991</v>
      </c>
      <c r="AI208" s="222" t="s">
        <v>1188</v>
      </c>
      <c r="AJ208" s="6" t="s">
        <v>1069</v>
      </c>
      <c r="AK208" s="223">
        <f>IFERROR(Plant_BD[[#This Row],[Breakdown Time]]*Plant_BD[[#This Row],[Plant Equivalent Weightage]],"")</f>
        <v>3.4223092171701421E-2</v>
      </c>
      <c r="AL208" s="6">
        <v>0.88</v>
      </c>
      <c r="AM208" s="221">
        <f>_xlfn.XLOOKUP($G208,'Modelling New'!$D:$D,'Modelling New'!$O:$O)*Plant_BD[[#This Row],[Lost PoA(kWh/m2)]]*Plant_BD[[#This Row],[DC Capacity Affected (kW)]]</f>
        <v>67.27120655387624</v>
      </c>
      <c r="AN208" s="6"/>
      <c r="AO208" s="6"/>
      <c r="AP208" s="224"/>
    </row>
    <row r="209" spans="1:42" x14ac:dyDescent="0.3">
      <c r="A209" s="171">
        <f t="shared" si="3"/>
        <v>208</v>
      </c>
      <c r="B209" s="200">
        <v>45792</v>
      </c>
      <c r="C209" s="212">
        <f>YEAR(Plant_BD[[#This Row],[Date]])+IF(MONTH(Plant_BD[[#This Row],[Date]])&gt;=4,1,0)</f>
        <v>2026</v>
      </c>
      <c r="D209" s="212">
        <f>YEAR(Plant_BD[[#This Row],[Date]])</f>
        <v>2025</v>
      </c>
      <c r="E209" s="77" t="s">
        <v>1070</v>
      </c>
      <c r="F209" s="77" t="s">
        <v>1070</v>
      </c>
      <c r="G209" s="213">
        <f>Plant_BD[[#This Row],[Date]]-DAY(Plant_BD[[#This Row],[Date]])+1</f>
        <v>45778</v>
      </c>
      <c r="H209" s="3">
        <f>DAY(EOMONTH(Plant_BD[[#This Row],[Month Year]],0))</f>
        <v>31</v>
      </c>
      <c r="I209" s="214">
        <f>_xlfn.XLOOKUP(Plant_BD[[#This Row],[Date]],'Raw Data'!$G:$G,'Raw Data'!$I:$I)</f>
        <v>0.26874999999999999</v>
      </c>
      <c r="J209" s="214">
        <f>_xlfn.XLOOKUP(Plant_BD[[#This Row],[Date]],'Raw Data'!$G:$G,'Raw Data'!$J:$J)</f>
        <v>0.77708333333333335</v>
      </c>
      <c r="K209" s="215">
        <f>IFERROR((Plant_BD[[#This Row],[Sunset Time (POA&lt;20 W/m2)]]-Plant_BD[[#This Row],[Sunrise Time (POA&gt;20 W/m2)]])*24,"")</f>
        <v>12.2</v>
      </c>
      <c r="L209" s="215"/>
      <c r="M209" s="215"/>
      <c r="N209" s="215"/>
      <c r="O209" s="215"/>
      <c r="P209" s="215"/>
      <c r="Q209" s="215"/>
      <c r="R209" s="215"/>
      <c r="S209" s="215"/>
      <c r="T209" s="216" t="s">
        <v>250</v>
      </c>
      <c r="U209" s="16">
        <f>IFERROR(_xlfn.XLOOKUP(Plant_BD[[#This Row],[Affected Equipment]],'Basic Data'!$A:$A,'Basic Data'!$B:$B),"")</f>
        <v>113.34</v>
      </c>
      <c r="V209" s="217">
        <f>IFERROR(_xlfn.XLOOKUP(Plant_BD[[#This Row],[Affected Equipment]],'Basic Data'!$A:$A,'Basic Data'!$C:$C),"")</f>
        <v>1.4130583849692679E-2</v>
      </c>
      <c r="W209" s="218" t="s">
        <v>1187</v>
      </c>
      <c r="X209" s="218" t="s">
        <v>313</v>
      </c>
      <c r="Y209" s="218"/>
      <c r="Z209" s="219" t="s">
        <v>313</v>
      </c>
      <c r="AA209" s="220">
        <v>0.44791666666666669</v>
      </c>
      <c r="AB209" s="220"/>
      <c r="AC209" s="220"/>
      <c r="AD209" s="220">
        <v>0.50763888888888886</v>
      </c>
      <c r="AE209" s="221">
        <f>IF(Plant_BD[[#This Row],[Acknowledgement Time ]]="NA","",(Plant_BD[[#This Row],[Acknowledgement Time ]]-Plant_BD[[#This Row],[Fault Time]])*24)</f>
        <v>-10.75</v>
      </c>
      <c r="AF209" s="221">
        <f>IF(Plant_BD[[#This Row],[Work Start time on Fault]]="NA","",(Plant_BD[[#This Row],[Work Start time on Fault]]-Plant_BD[[#This Row],[Fault Time]])*24)</f>
        <v>-10.75</v>
      </c>
      <c r="AG209" s="17">
        <f>(Plant_BD[[#This Row],[Work Completion time on fault]]-Plant_BD[[#This Row],[Fault Time]])*24</f>
        <v>1.4333333333333322</v>
      </c>
      <c r="AH209" s="17">
        <f>IFERROR((Plant_BD[[#This Row],[Work Completion time on fault]]-Plant_BD[[#This Row],[Fault Time]])*24,"")</f>
        <v>1.4333333333333322</v>
      </c>
      <c r="AI209" s="222" t="s">
        <v>1188</v>
      </c>
      <c r="AJ209" s="6" t="s">
        <v>1069</v>
      </c>
      <c r="AK209" s="223">
        <f>IFERROR(Plant_BD[[#This Row],[Breakdown Time]]*Plant_BD[[#This Row],[Plant Equivalent Weightage]],"")</f>
        <v>2.025383685122616E-2</v>
      </c>
      <c r="AL209" s="6">
        <v>0.39</v>
      </c>
      <c r="AM209" s="221">
        <f>_xlfn.XLOOKUP($G209,'Modelling New'!$D:$D,'Modelling New'!$O:$O)*Plant_BD[[#This Row],[Lost PoA(kWh/m2)]]*Plant_BD[[#This Row],[DC Capacity Affected (kW)]]</f>
        <v>30.774571895371437</v>
      </c>
      <c r="AN209" s="6"/>
      <c r="AO209" s="6"/>
      <c r="AP209" s="224"/>
    </row>
    <row r="210" spans="1:42" x14ac:dyDescent="0.3">
      <c r="A210" s="171">
        <f t="shared" si="3"/>
        <v>209</v>
      </c>
      <c r="B210" s="200">
        <v>45792</v>
      </c>
      <c r="C210" s="212">
        <f>YEAR(Plant_BD[[#This Row],[Date]])+IF(MONTH(Plant_BD[[#This Row],[Date]])&gt;=4,1,0)</f>
        <v>2026</v>
      </c>
      <c r="D210" s="212">
        <f>YEAR(Plant_BD[[#This Row],[Date]])</f>
        <v>2025</v>
      </c>
      <c r="E210" s="77" t="s">
        <v>1070</v>
      </c>
      <c r="F210" s="77" t="s">
        <v>1070</v>
      </c>
      <c r="G210" s="213">
        <f>Plant_BD[[#This Row],[Date]]-DAY(Plant_BD[[#This Row],[Date]])+1</f>
        <v>45778</v>
      </c>
      <c r="H210" s="3">
        <f>DAY(EOMONTH(Plant_BD[[#This Row],[Month Year]],0))</f>
        <v>31</v>
      </c>
      <c r="I210" s="214">
        <f>_xlfn.XLOOKUP(Plant_BD[[#This Row],[Date]],'Raw Data'!$G:$G,'Raw Data'!$I:$I)</f>
        <v>0.26874999999999999</v>
      </c>
      <c r="J210" s="214">
        <f>_xlfn.XLOOKUP(Plant_BD[[#This Row],[Date]],'Raw Data'!$G:$G,'Raw Data'!$J:$J)</f>
        <v>0.77708333333333335</v>
      </c>
      <c r="K210" s="215">
        <f>IFERROR((Plant_BD[[#This Row],[Sunset Time (POA&lt;20 W/m2)]]-Plant_BD[[#This Row],[Sunrise Time (POA&gt;20 W/m2)]])*24,"")</f>
        <v>12.2</v>
      </c>
      <c r="L210" s="215"/>
      <c r="M210" s="215"/>
      <c r="N210" s="215"/>
      <c r="O210" s="215"/>
      <c r="P210" s="215"/>
      <c r="Q210" s="215"/>
      <c r="R210" s="215"/>
      <c r="S210" s="215"/>
      <c r="T210" s="216" t="s">
        <v>258</v>
      </c>
      <c r="U210" s="16">
        <f>IFERROR(_xlfn.XLOOKUP(Plant_BD[[#This Row],[Affected Equipment]],'Basic Data'!$A:$A,'Basic Data'!$B:$B),"")</f>
        <v>113.34</v>
      </c>
      <c r="V210" s="217">
        <f>IFERROR(_xlfn.XLOOKUP(Plant_BD[[#This Row],[Affected Equipment]],'Basic Data'!$A:$A,'Basic Data'!$C:$C),"")</f>
        <v>1.4130583849692679E-2</v>
      </c>
      <c r="W210" s="218" t="s">
        <v>1187</v>
      </c>
      <c r="X210" s="218" t="s">
        <v>313</v>
      </c>
      <c r="Y210" s="218"/>
      <c r="Z210" s="219" t="s">
        <v>313</v>
      </c>
      <c r="AA210" s="220">
        <v>0.44791666666666669</v>
      </c>
      <c r="AB210" s="220"/>
      <c r="AC210" s="220"/>
      <c r="AD210" s="220">
        <v>0.50763888888888886</v>
      </c>
      <c r="AE210" s="221">
        <f>IF(Plant_BD[[#This Row],[Acknowledgement Time ]]="NA","",(Plant_BD[[#This Row],[Acknowledgement Time ]]-Plant_BD[[#This Row],[Fault Time]])*24)</f>
        <v>-10.75</v>
      </c>
      <c r="AF210" s="221">
        <f>IF(Plant_BD[[#This Row],[Work Start time on Fault]]="NA","",(Plant_BD[[#This Row],[Work Start time on Fault]]-Plant_BD[[#This Row],[Fault Time]])*24)</f>
        <v>-10.75</v>
      </c>
      <c r="AG210" s="17">
        <f>(Plant_BD[[#This Row],[Work Completion time on fault]]-Plant_BD[[#This Row],[Fault Time]])*24</f>
        <v>1.4333333333333322</v>
      </c>
      <c r="AH210" s="17">
        <f>IFERROR((Plant_BD[[#This Row],[Work Completion time on fault]]-Plant_BD[[#This Row],[Fault Time]])*24,"")</f>
        <v>1.4333333333333322</v>
      </c>
      <c r="AI210" s="222" t="s">
        <v>1188</v>
      </c>
      <c r="AJ210" s="6" t="s">
        <v>1069</v>
      </c>
      <c r="AK210" s="223">
        <f>IFERROR(Plant_BD[[#This Row],[Breakdown Time]]*Plant_BD[[#This Row],[Plant Equivalent Weightage]],"")</f>
        <v>2.025383685122616E-2</v>
      </c>
      <c r="AL210" s="6">
        <v>0.39</v>
      </c>
      <c r="AM210" s="221">
        <f>_xlfn.XLOOKUP($G210,'Modelling New'!$D:$D,'Modelling New'!$O:$O)*Plant_BD[[#This Row],[Lost PoA(kWh/m2)]]*Plant_BD[[#This Row],[DC Capacity Affected (kW)]]</f>
        <v>30.774571895371437</v>
      </c>
      <c r="AN210" s="6"/>
      <c r="AO210" s="6"/>
      <c r="AP210" s="224"/>
    </row>
    <row r="211" spans="1:42" x14ac:dyDescent="0.3">
      <c r="A211" s="171">
        <f t="shared" si="3"/>
        <v>210</v>
      </c>
      <c r="B211" s="200">
        <v>45792</v>
      </c>
      <c r="C211" s="212">
        <f>YEAR(Plant_BD[[#This Row],[Date]])+IF(MONTH(Plant_BD[[#This Row],[Date]])&gt;=4,1,0)</f>
        <v>2026</v>
      </c>
      <c r="D211" s="212">
        <f>YEAR(Plant_BD[[#This Row],[Date]])</f>
        <v>2025</v>
      </c>
      <c r="E211" s="77" t="s">
        <v>1070</v>
      </c>
      <c r="F211" s="77" t="s">
        <v>1070</v>
      </c>
      <c r="G211" s="213">
        <f>Plant_BD[[#This Row],[Date]]-DAY(Plant_BD[[#This Row],[Date]])+1</f>
        <v>45778</v>
      </c>
      <c r="H211" s="3">
        <f>DAY(EOMONTH(Plant_BD[[#This Row],[Month Year]],0))</f>
        <v>31</v>
      </c>
      <c r="I211" s="214">
        <f>_xlfn.XLOOKUP(Plant_BD[[#This Row],[Date]],'Raw Data'!$G:$G,'Raw Data'!$I:$I)</f>
        <v>0.26874999999999999</v>
      </c>
      <c r="J211" s="214">
        <f>_xlfn.XLOOKUP(Plant_BD[[#This Row],[Date]],'Raw Data'!$G:$G,'Raw Data'!$J:$J)</f>
        <v>0.77708333333333335</v>
      </c>
      <c r="K211" s="215">
        <f>IFERROR((Plant_BD[[#This Row],[Sunset Time (POA&lt;20 W/m2)]]-Plant_BD[[#This Row],[Sunrise Time (POA&gt;20 W/m2)]])*24,"")</f>
        <v>12.2</v>
      </c>
      <c r="L211" s="215"/>
      <c r="M211" s="215"/>
      <c r="N211" s="215"/>
      <c r="O211" s="215"/>
      <c r="P211" s="215"/>
      <c r="Q211" s="215"/>
      <c r="R211" s="215"/>
      <c r="S211" s="215"/>
      <c r="T211" s="216" t="s">
        <v>259</v>
      </c>
      <c r="U211" s="16">
        <f>IFERROR(_xlfn.XLOOKUP(Plant_BD[[#This Row],[Affected Equipment]],'Basic Data'!$A:$A,'Basic Data'!$B:$B),"")</f>
        <v>113.34</v>
      </c>
      <c r="V211" s="217">
        <f>IFERROR(_xlfn.XLOOKUP(Plant_BD[[#This Row],[Affected Equipment]],'Basic Data'!$A:$A,'Basic Data'!$C:$C),"")</f>
        <v>1.4130583849692679E-2</v>
      </c>
      <c r="W211" s="218" t="s">
        <v>1187</v>
      </c>
      <c r="X211" s="218" t="s">
        <v>313</v>
      </c>
      <c r="Y211" s="218"/>
      <c r="Z211" s="219" t="s">
        <v>313</v>
      </c>
      <c r="AA211" s="220">
        <v>0.44791666666666669</v>
      </c>
      <c r="AB211" s="220"/>
      <c r="AC211" s="220"/>
      <c r="AD211" s="220">
        <v>0.50763888888888886</v>
      </c>
      <c r="AE211" s="221">
        <f>IF(Plant_BD[[#This Row],[Acknowledgement Time ]]="NA","",(Plant_BD[[#This Row],[Acknowledgement Time ]]-Plant_BD[[#This Row],[Fault Time]])*24)</f>
        <v>-10.75</v>
      </c>
      <c r="AF211" s="221">
        <f>IF(Plant_BD[[#This Row],[Work Start time on Fault]]="NA","",(Plant_BD[[#This Row],[Work Start time on Fault]]-Plant_BD[[#This Row],[Fault Time]])*24)</f>
        <v>-10.75</v>
      </c>
      <c r="AG211" s="17">
        <f>(Plant_BD[[#This Row],[Work Completion time on fault]]-Plant_BD[[#This Row],[Fault Time]])*24</f>
        <v>1.4333333333333322</v>
      </c>
      <c r="AH211" s="17">
        <f>IFERROR((Plant_BD[[#This Row],[Work Completion time on fault]]-Plant_BD[[#This Row],[Fault Time]])*24,"")</f>
        <v>1.4333333333333322</v>
      </c>
      <c r="AI211" s="222" t="s">
        <v>1188</v>
      </c>
      <c r="AJ211" s="6" t="s">
        <v>1069</v>
      </c>
      <c r="AK211" s="223">
        <f>IFERROR(Plant_BD[[#This Row],[Breakdown Time]]*Plant_BD[[#This Row],[Plant Equivalent Weightage]],"")</f>
        <v>2.025383685122616E-2</v>
      </c>
      <c r="AL211" s="6">
        <v>0.39</v>
      </c>
      <c r="AM211" s="221">
        <f>_xlfn.XLOOKUP($G211,'Modelling New'!$D:$D,'Modelling New'!$O:$O)*Plant_BD[[#This Row],[Lost PoA(kWh/m2)]]*Plant_BD[[#This Row],[DC Capacity Affected (kW)]]</f>
        <v>30.774571895371437</v>
      </c>
      <c r="AN211" s="6"/>
      <c r="AO211" s="6"/>
      <c r="AP211" s="224"/>
    </row>
    <row r="212" spans="1:42" x14ac:dyDescent="0.3">
      <c r="A212" s="171">
        <f t="shared" si="3"/>
        <v>211</v>
      </c>
      <c r="B212" s="200">
        <v>45792</v>
      </c>
      <c r="C212" s="212">
        <f>YEAR(Plant_BD[[#This Row],[Date]])+IF(MONTH(Plant_BD[[#This Row],[Date]])&gt;=4,1,0)</f>
        <v>2026</v>
      </c>
      <c r="D212" s="212">
        <f>YEAR(Plant_BD[[#This Row],[Date]])</f>
        <v>2025</v>
      </c>
      <c r="E212" s="77" t="s">
        <v>1070</v>
      </c>
      <c r="F212" s="77" t="s">
        <v>1070</v>
      </c>
      <c r="G212" s="213">
        <f>Plant_BD[[#This Row],[Date]]-DAY(Plant_BD[[#This Row],[Date]])+1</f>
        <v>45778</v>
      </c>
      <c r="H212" s="3">
        <f>DAY(EOMONTH(Plant_BD[[#This Row],[Month Year]],0))</f>
        <v>31</v>
      </c>
      <c r="I212" s="214">
        <f>_xlfn.XLOOKUP(Plant_BD[[#This Row],[Date]],'Raw Data'!$G:$G,'Raw Data'!$I:$I)</f>
        <v>0.26874999999999999</v>
      </c>
      <c r="J212" s="214">
        <f>_xlfn.XLOOKUP(Plant_BD[[#This Row],[Date]],'Raw Data'!$G:$G,'Raw Data'!$J:$J)</f>
        <v>0.77708333333333335</v>
      </c>
      <c r="K212" s="215">
        <f>IFERROR((Plant_BD[[#This Row],[Sunset Time (POA&lt;20 W/m2)]]-Plant_BD[[#This Row],[Sunrise Time (POA&gt;20 W/m2)]])*24,"")</f>
        <v>12.2</v>
      </c>
      <c r="L212" s="215"/>
      <c r="M212" s="215"/>
      <c r="N212" s="215"/>
      <c r="O212" s="215"/>
      <c r="P212" s="215"/>
      <c r="Q212" s="215"/>
      <c r="R212" s="215"/>
      <c r="S212" s="215"/>
      <c r="T212" s="216" t="s">
        <v>242</v>
      </c>
      <c r="U212" s="16">
        <f>IFERROR(_xlfn.XLOOKUP(Plant_BD[[#This Row],[Affected Equipment]],'Basic Data'!$A:$A,'Basic Data'!$B:$B),"")</f>
        <v>109.8</v>
      </c>
      <c r="V212" s="217">
        <f>IFERROR(_xlfn.XLOOKUP(Plant_BD[[#This Row],[Affected Equipment]],'Basic Data'!$A:$A,'Basic Data'!$C:$C),"")</f>
        <v>1.3689236868680572E-2</v>
      </c>
      <c r="W212" s="218" t="s">
        <v>1187</v>
      </c>
      <c r="X212" s="218" t="s">
        <v>313</v>
      </c>
      <c r="Y212" s="218"/>
      <c r="Z212" s="219" t="s">
        <v>313</v>
      </c>
      <c r="AA212" s="220">
        <v>0.44791666666666669</v>
      </c>
      <c r="AB212" s="220"/>
      <c r="AC212" s="220"/>
      <c r="AD212" s="220">
        <v>0.50763888888888886</v>
      </c>
      <c r="AE212" s="221">
        <f>IF(Plant_BD[[#This Row],[Acknowledgement Time ]]="NA","",(Plant_BD[[#This Row],[Acknowledgement Time ]]-Plant_BD[[#This Row],[Fault Time]])*24)</f>
        <v>-10.75</v>
      </c>
      <c r="AF212" s="221">
        <f>IF(Plant_BD[[#This Row],[Work Start time on Fault]]="NA","",(Plant_BD[[#This Row],[Work Start time on Fault]]-Plant_BD[[#This Row],[Fault Time]])*24)</f>
        <v>-10.75</v>
      </c>
      <c r="AG212" s="17">
        <f>(Plant_BD[[#This Row],[Work Completion time on fault]]-Plant_BD[[#This Row],[Fault Time]])*24</f>
        <v>1.4333333333333322</v>
      </c>
      <c r="AH212" s="17">
        <f>IFERROR((Plant_BD[[#This Row],[Work Completion time on fault]]-Plant_BD[[#This Row],[Fault Time]])*24,"")</f>
        <v>1.4333333333333322</v>
      </c>
      <c r="AI212" s="222" t="s">
        <v>1188</v>
      </c>
      <c r="AJ212" s="6" t="s">
        <v>1069</v>
      </c>
      <c r="AK212" s="223">
        <f>IFERROR(Plant_BD[[#This Row],[Breakdown Time]]*Plant_BD[[#This Row],[Plant Equivalent Weightage]],"")</f>
        <v>1.9621239511775471E-2</v>
      </c>
      <c r="AL212" s="6">
        <v>0.39</v>
      </c>
      <c r="AM212" s="221">
        <f>_xlfn.XLOOKUP($G212,'Modelling New'!$D:$D,'Modelling New'!$O:$O)*Plant_BD[[#This Row],[Lost PoA(kWh/m2)]]*Plant_BD[[#This Row],[DC Capacity Affected (kW)]]</f>
        <v>29.813375631831512</v>
      </c>
      <c r="AN212" s="6"/>
      <c r="AO212" s="6"/>
      <c r="AP212" s="224"/>
    </row>
    <row r="213" spans="1:42" x14ac:dyDescent="0.3">
      <c r="A213" s="171">
        <v>212</v>
      </c>
      <c r="B213" s="200">
        <v>45793</v>
      </c>
      <c r="C213" s="212">
        <f>YEAR(Plant_BD[[#This Row],[Date]])+IF(MONTH(Plant_BD[[#This Row],[Date]])&gt;=4,1,0)</f>
        <v>2026</v>
      </c>
      <c r="D213" s="212">
        <f>YEAR(Plant_BD[[#This Row],[Date]])</f>
        <v>2025</v>
      </c>
      <c r="E213" s="77" t="s">
        <v>1070</v>
      </c>
      <c r="F213" s="77" t="s">
        <v>1070</v>
      </c>
      <c r="G213" s="213">
        <f>Plant_BD[[#This Row],[Date]]-DAY(Plant_BD[[#This Row],[Date]])+1</f>
        <v>45778</v>
      </c>
      <c r="H213" s="3">
        <f>DAY(EOMONTH(Plant_BD[[#This Row],[Month Year]],0))</f>
        <v>31</v>
      </c>
      <c r="I213" s="214">
        <f>_xlfn.XLOOKUP(Plant_BD[[#This Row],[Date]],'Raw Data'!$G:$G,'Raw Data'!$I:$I)</f>
        <v>0.24374999999999999</v>
      </c>
      <c r="J213" s="214">
        <f>_xlfn.XLOOKUP(Plant_BD[[#This Row],[Date]],'Raw Data'!$G:$G,'Raw Data'!$J:$J)</f>
        <v>0.77916666666666667</v>
      </c>
      <c r="K213" s="215">
        <f>IFERROR((Plant_BD[[#This Row],[Sunset Time (POA&lt;20 W/m2)]]-Plant_BD[[#This Row],[Sunrise Time (POA&gt;20 W/m2)]])*24,"")</f>
        <v>12.85</v>
      </c>
      <c r="L213" s="215"/>
      <c r="M213" s="215"/>
      <c r="N213" s="215"/>
      <c r="O213" s="215"/>
      <c r="P213" s="215"/>
      <c r="Q213" s="215"/>
      <c r="R213" s="215"/>
      <c r="S213" s="215"/>
      <c r="T213" s="216" t="s">
        <v>168</v>
      </c>
      <c r="U213" s="16">
        <f>IFERROR(_xlfn.XLOOKUP(Plant_BD[[#This Row],[Affected Equipment]],'Basic Data'!$A:$A,'Basic Data'!$B:$B),"")</f>
        <v>2694.6</v>
      </c>
      <c r="V213" s="217">
        <f>IFERROR(_xlfn.XLOOKUP(Plant_BD[[#This Row],[Affected Equipment]],'Basic Data'!$A:$A,'Basic Data'!$C:$C),"")</f>
        <v>0.33594733758057077</v>
      </c>
      <c r="W213" s="218" t="s">
        <v>311</v>
      </c>
      <c r="X213" s="218" t="s">
        <v>1189</v>
      </c>
      <c r="Y213" s="218"/>
      <c r="Z213" s="219" t="s">
        <v>1189</v>
      </c>
      <c r="AA213" s="220">
        <v>0.41666666666666669</v>
      </c>
      <c r="AB213" s="220"/>
      <c r="AC213" s="220"/>
      <c r="AD213" s="220">
        <v>0.52361111111111114</v>
      </c>
      <c r="AE213" s="221">
        <f>IF(Plant_BD[[#This Row],[Acknowledgement Time ]]="NA","",(Plant_BD[[#This Row],[Acknowledgement Time ]]-Plant_BD[[#This Row],[Fault Time]])*24)</f>
        <v>-10</v>
      </c>
      <c r="AF213" s="221">
        <f>IF(Plant_BD[[#This Row],[Work Start time on Fault]]="NA","",(Plant_BD[[#This Row],[Work Start time on Fault]]-Plant_BD[[#This Row],[Fault Time]])*24)</f>
        <v>-10</v>
      </c>
      <c r="AG213" s="17">
        <f>(Plant_BD[[#This Row],[Work Completion time on fault]]-Plant_BD[[#This Row],[Fault Time]])*24</f>
        <v>2.5666666666666669</v>
      </c>
      <c r="AH213" s="17">
        <f>IFERROR((Plant_BD[[#This Row],[Work Completion time on fault]]-Plant_BD[[#This Row],[Fault Time]])*24,"")</f>
        <v>2.5666666666666669</v>
      </c>
      <c r="AI213" s="222" t="s">
        <v>1190</v>
      </c>
      <c r="AJ213" s="6" t="s">
        <v>1069</v>
      </c>
      <c r="AK213" s="223">
        <f>IFERROR(Plant_BD[[#This Row],[Breakdown Time]]*Plant_BD[[#This Row],[Plant Equivalent Weightage]],"")</f>
        <v>0.86226483312346502</v>
      </c>
      <c r="AL213" s="6">
        <v>1.63</v>
      </c>
      <c r="AM213" s="221">
        <f>_xlfn.XLOOKUP($G213,'Modelling New'!$D:$D,'Modelling New'!$O:$O)*Plant_BD[[#This Row],[Lost PoA(kWh/m2)]]*Plant_BD[[#This Row],[DC Capacity Affected (kW)]]</f>
        <v>3057.9199669183859</v>
      </c>
      <c r="AN213" s="6"/>
      <c r="AO213" s="6"/>
      <c r="AP213" s="224"/>
    </row>
    <row r="214" spans="1:42" x14ac:dyDescent="0.3">
      <c r="A214" s="171">
        <v>213</v>
      </c>
      <c r="B214" s="200">
        <v>45797</v>
      </c>
      <c r="C214" s="212">
        <f>YEAR(Plant_BD[[#This Row],[Date]])+IF(MONTH(Plant_BD[[#This Row],[Date]])&gt;=4,1,0)</f>
        <v>2026</v>
      </c>
      <c r="D214" s="212">
        <f>YEAR(Plant_BD[[#This Row],[Date]])</f>
        <v>2025</v>
      </c>
      <c r="E214" s="77" t="s">
        <v>1070</v>
      </c>
      <c r="F214" s="77" t="s">
        <v>1070</v>
      </c>
      <c r="G214" s="213">
        <f>Plant_BD[[#This Row],[Date]]-DAY(Plant_BD[[#This Row],[Date]])+1</f>
        <v>45778</v>
      </c>
      <c r="H214" s="3">
        <f>DAY(EOMONTH(Plant_BD[[#This Row],[Month Year]],0))</f>
        <v>31</v>
      </c>
      <c r="I214" s="214">
        <f>_xlfn.XLOOKUP(Plant_BD[[#This Row],[Date]],'Raw Data'!$G:$G,'Raw Data'!$I:$I)</f>
        <v>0.24791666666666667</v>
      </c>
      <c r="J214" s="214">
        <f>_xlfn.XLOOKUP(Plant_BD[[#This Row],[Date]],'Raw Data'!$G:$G,'Raw Data'!$J:$J)</f>
        <v>0.77777777777777779</v>
      </c>
      <c r="K214" s="215">
        <f>IFERROR((Plant_BD[[#This Row],[Sunset Time (POA&lt;20 W/m2)]]-Plant_BD[[#This Row],[Sunrise Time (POA&gt;20 W/m2)]])*24,"")</f>
        <v>12.716666666666667</v>
      </c>
      <c r="L214" s="215"/>
      <c r="M214" s="215"/>
      <c r="N214" s="215"/>
      <c r="O214" s="215"/>
      <c r="P214" s="215"/>
      <c r="Q214" s="215"/>
      <c r="R214" s="215"/>
      <c r="S214" s="215"/>
      <c r="T214" s="216" t="s">
        <v>170</v>
      </c>
      <c r="U214" s="16">
        <f>IFERROR(_xlfn.XLOOKUP(Plant_BD[[#This Row],[Affected Equipment]],'Basic Data'!$A:$A,'Basic Data'!$B:$B),"")</f>
        <v>2695.5</v>
      </c>
      <c r="V214" s="217">
        <f>IFERROR(_xlfn.XLOOKUP(Plant_BD[[#This Row],[Affected Equipment]],'Basic Data'!$A:$A,'Basic Data'!$C:$C),"")</f>
        <v>0.33605954444015013</v>
      </c>
      <c r="W214" s="218" t="s">
        <v>1187</v>
      </c>
      <c r="X214" s="218" t="s">
        <v>313</v>
      </c>
      <c r="Y214" s="218"/>
      <c r="Z214" s="219" t="s">
        <v>313</v>
      </c>
      <c r="AA214" s="220">
        <v>0.56319444444444444</v>
      </c>
      <c r="AB214" s="220"/>
      <c r="AC214" s="220"/>
      <c r="AD214" s="220">
        <v>0.57708333333333328</v>
      </c>
      <c r="AE214" s="221">
        <f>IF(Plant_BD[[#This Row],[Acknowledgement Time ]]="NA","",(Plant_BD[[#This Row],[Acknowledgement Time ]]-Plant_BD[[#This Row],[Fault Time]])*24)</f>
        <v>-13.516666666666666</v>
      </c>
      <c r="AF214" s="221">
        <f>IF(Plant_BD[[#This Row],[Work Start time on Fault]]="NA","",(Plant_BD[[#This Row],[Work Start time on Fault]]-Plant_BD[[#This Row],[Fault Time]])*24)</f>
        <v>-13.516666666666666</v>
      </c>
      <c r="AG214" s="17">
        <f>(Plant_BD[[#This Row],[Work Completion time on fault]]-Plant_BD[[#This Row],[Fault Time]])*24</f>
        <v>0.33333333333333215</v>
      </c>
      <c r="AH214" s="17">
        <f>IFERROR((Plant_BD[[#This Row],[Work Completion time on fault]]-Plant_BD[[#This Row],[Fault Time]])*24,"")</f>
        <v>0.33333333333333215</v>
      </c>
      <c r="AI214" s="222" t="s">
        <v>1074</v>
      </c>
      <c r="AJ214" s="6" t="s">
        <v>1069</v>
      </c>
      <c r="AK214" s="223">
        <f>IFERROR(Plant_BD[[#This Row],[Breakdown Time]]*Plant_BD[[#This Row],[Plant Equivalent Weightage]],"")</f>
        <v>0.11201984814671631</v>
      </c>
      <c r="AL214" s="6">
        <v>0.32</v>
      </c>
      <c r="AM214" s="221">
        <f>_xlfn.XLOOKUP($G214,'Modelling New'!$D:$D,'Modelling New'!$O:$O)*Plant_BD[[#This Row],[Lost PoA(kWh/m2)]]*Plant_BD[[#This Row],[DC Capacity Affected (kW)]]</f>
        <v>600.52835656888033</v>
      </c>
      <c r="AN214" s="6"/>
      <c r="AO214" s="6"/>
      <c r="AP214" s="224"/>
    </row>
    <row r="215" spans="1:42" x14ac:dyDescent="0.3">
      <c r="A215" s="171">
        <v>214</v>
      </c>
      <c r="B215" s="200">
        <v>45799</v>
      </c>
      <c r="C215" s="212">
        <f>YEAR(Plant_BD[[#This Row],[Date]])+IF(MONTH(Plant_BD[[#This Row],[Date]])&gt;=4,1,0)</f>
        <v>2026</v>
      </c>
      <c r="D215" s="212">
        <f>YEAR(Plant_BD[[#This Row],[Date]])</f>
        <v>2025</v>
      </c>
      <c r="E215" s="77" t="s">
        <v>1070</v>
      </c>
      <c r="F215" s="77" t="s">
        <v>1070</v>
      </c>
      <c r="G215" s="213">
        <f>Plant_BD[[#This Row],[Date]]-DAY(Plant_BD[[#This Row],[Date]])+1</f>
        <v>45778</v>
      </c>
      <c r="H215" s="3">
        <f>DAY(EOMONTH(Plant_BD[[#This Row],[Month Year]],0))</f>
        <v>31</v>
      </c>
      <c r="I215" s="214">
        <f>_xlfn.XLOOKUP(Plant_BD[[#This Row],[Date]],'Raw Data'!$G:$G,'Raw Data'!$I:$I)</f>
        <v>0.24374999999999999</v>
      </c>
      <c r="J215" s="214">
        <f>_xlfn.XLOOKUP(Plant_BD[[#This Row],[Date]],'Raw Data'!$G:$G,'Raw Data'!$J:$J)</f>
        <v>0.76597222222222228</v>
      </c>
      <c r="K215" s="215">
        <f>IFERROR((Plant_BD[[#This Row],[Sunset Time (POA&lt;20 W/m2)]]-Plant_BD[[#This Row],[Sunrise Time (POA&gt;20 W/m2)]])*24,"")</f>
        <v>12.533333333333335</v>
      </c>
      <c r="L215" s="215"/>
      <c r="M215" s="215"/>
      <c r="N215" s="215"/>
      <c r="O215" s="215"/>
      <c r="P215" s="215"/>
      <c r="Q215" s="215"/>
      <c r="R215" s="215"/>
      <c r="S215" s="215"/>
      <c r="T215" s="216" t="s">
        <v>246</v>
      </c>
      <c r="U215" s="16">
        <f>IFERROR(_xlfn.XLOOKUP(Plant_BD[[#This Row],[Affected Equipment]],'Basic Data'!$A:$A,'Basic Data'!$B:$B),"")</f>
        <v>113.34</v>
      </c>
      <c r="V215" s="217">
        <f>IFERROR(_xlfn.XLOOKUP(Plant_BD[[#This Row],[Affected Equipment]],'Basic Data'!$A:$A,'Basic Data'!$C:$C),"")</f>
        <v>1.4130583849692679E-2</v>
      </c>
      <c r="W215" s="218" t="s">
        <v>1187</v>
      </c>
      <c r="X215" s="218" t="s">
        <v>313</v>
      </c>
      <c r="Y215" s="218"/>
      <c r="Z215" s="219" t="s">
        <v>313</v>
      </c>
      <c r="AA215" s="220">
        <v>0.25624999999999998</v>
      </c>
      <c r="AB215" s="220"/>
      <c r="AC215" s="220"/>
      <c r="AD215" s="220">
        <v>0.34166666666666667</v>
      </c>
      <c r="AE215" s="221">
        <f>IF(Plant_BD[[#This Row],[Acknowledgement Time ]]="NA","",(Plant_BD[[#This Row],[Acknowledgement Time ]]-Plant_BD[[#This Row],[Fault Time]])*24)</f>
        <v>-6.1499999999999995</v>
      </c>
      <c r="AF215" s="221">
        <f>IF(Plant_BD[[#This Row],[Work Start time on Fault]]="NA","",(Plant_BD[[#This Row],[Work Start time on Fault]]-Plant_BD[[#This Row],[Fault Time]])*24)</f>
        <v>-6.1499999999999995</v>
      </c>
      <c r="AG215" s="17">
        <f>(Plant_BD[[#This Row],[Work Completion time on fault]]-Plant_BD[[#This Row],[Fault Time]])*24</f>
        <v>2.0500000000000007</v>
      </c>
      <c r="AH215" s="17">
        <f>IFERROR((Plant_BD[[#This Row],[Work Completion time on fault]]-Plant_BD[[#This Row],[Fault Time]])*24,"")</f>
        <v>2.0500000000000007</v>
      </c>
      <c r="AI215" s="222" t="s">
        <v>1188</v>
      </c>
      <c r="AJ215" s="6" t="s">
        <v>1069</v>
      </c>
      <c r="AK215" s="223">
        <f>IFERROR(Plant_BD[[#This Row],[Breakdown Time]]*Plant_BD[[#This Row],[Plant Equivalent Weightage]],"")</f>
        <v>2.8967696891870003E-2</v>
      </c>
      <c r="AL215" s="6">
        <v>0.14000000000000001</v>
      </c>
      <c r="AM215" s="221">
        <f>_xlfn.XLOOKUP($G215,'Modelling New'!$D:$D,'Modelling New'!$O:$O)*Plant_BD[[#This Row],[Lost PoA(kWh/m2)]]*Plant_BD[[#This Row],[DC Capacity Affected (kW)]]</f>
        <v>11.047282218851286</v>
      </c>
      <c r="AN215" s="6"/>
      <c r="AO215" s="6"/>
      <c r="AP215" s="224"/>
    </row>
    <row r="216" spans="1:42" x14ac:dyDescent="0.3">
      <c r="A216" s="171">
        <v>215</v>
      </c>
      <c r="B216" s="200">
        <v>45799</v>
      </c>
      <c r="C216" s="212">
        <f>YEAR(Plant_BD[[#This Row],[Date]])+IF(MONTH(Plant_BD[[#This Row],[Date]])&gt;=4,1,0)</f>
        <v>2026</v>
      </c>
      <c r="D216" s="212">
        <f>YEAR(Plant_BD[[#This Row],[Date]])</f>
        <v>2025</v>
      </c>
      <c r="E216" s="77" t="s">
        <v>1070</v>
      </c>
      <c r="F216" s="77" t="s">
        <v>1070</v>
      </c>
      <c r="G216" s="213">
        <f>Plant_BD[[#This Row],[Date]]-DAY(Plant_BD[[#This Row],[Date]])+1</f>
        <v>45778</v>
      </c>
      <c r="H216" s="3">
        <f>DAY(EOMONTH(Plant_BD[[#This Row],[Month Year]],0))</f>
        <v>31</v>
      </c>
      <c r="I216" s="214">
        <f>_xlfn.XLOOKUP(Plant_BD[[#This Row],[Date]],'Raw Data'!$G:$G,'Raw Data'!$I:$I)</f>
        <v>0.24374999999999999</v>
      </c>
      <c r="J216" s="214">
        <f>_xlfn.XLOOKUP(Plant_BD[[#This Row],[Date]],'Raw Data'!$G:$G,'Raw Data'!$J:$J)</f>
        <v>0.76597222222222228</v>
      </c>
      <c r="K216" s="215">
        <f>IFERROR((Plant_BD[[#This Row],[Sunset Time (POA&lt;20 W/m2)]]-Plant_BD[[#This Row],[Sunrise Time (POA&gt;20 W/m2)]])*24,"")</f>
        <v>12.533333333333335</v>
      </c>
      <c r="L216" s="215"/>
      <c r="M216" s="215"/>
      <c r="N216" s="215"/>
      <c r="O216" s="215"/>
      <c r="P216" s="215"/>
      <c r="Q216" s="215"/>
      <c r="R216" s="215"/>
      <c r="S216" s="215"/>
      <c r="T216" s="216" t="s">
        <v>246</v>
      </c>
      <c r="U216" s="16">
        <f>IFERROR(_xlfn.XLOOKUP(Plant_BD[[#This Row],[Affected Equipment]],'Basic Data'!$A:$A,'Basic Data'!$B:$B),"")</f>
        <v>113.34</v>
      </c>
      <c r="V216" s="217">
        <f>IFERROR(_xlfn.XLOOKUP(Plant_BD[[#This Row],[Affected Equipment]],'Basic Data'!$A:$A,'Basic Data'!$C:$C),"")</f>
        <v>1.4130583849692679E-2</v>
      </c>
      <c r="W216" s="218" t="s">
        <v>1187</v>
      </c>
      <c r="X216" s="218" t="s">
        <v>313</v>
      </c>
      <c r="Y216" s="218"/>
      <c r="Z216" s="219" t="s">
        <v>313</v>
      </c>
      <c r="AA216" s="220">
        <v>0.39166666666666666</v>
      </c>
      <c r="AB216" s="220"/>
      <c r="AC216" s="220"/>
      <c r="AD216" s="220">
        <v>0.44097222222222221</v>
      </c>
      <c r="AE216" s="221">
        <f>IF(Plant_BD[[#This Row],[Acknowledgement Time ]]="NA","",(Plant_BD[[#This Row],[Acknowledgement Time ]]-Plant_BD[[#This Row],[Fault Time]])*24)</f>
        <v>-9.4</v>
      </c>
      <c r="AF216" s="221">
        <f>IF(Plant_BD[[#This Row],[Work Start time on Fault]]="NA","",(Plant_BD[[#This Row],[Work Start time on Fault]]-Plant_BD[[#This Row],[Fault Time]])*24)</f>
        <v>-9.4</v>
      </c>
      <c r="AG216" s="17">
        <f>(Plant_BD[[#This Row],[Work Completion time on fault]]-Plant_BD[[#This Row],[Fault Time]])*24</f>
        <v>1.1833333333333331</v>
      </c>
      <c r="AH216" s="17">
        <f>IFERROR((Plant_BD[[#This Row],[Work Completion time on fault]]-Plant_BD[[#This Row],[Fault Time]])*24,"")</f>
        <v>1.1833333333333331</v>
      </c>
      <c r="AI216" s="222" t="s">
        <v>1188</v>
      </c>
      <c r="AJ216" s="6" t="s">
        <v>1069</v>
      </c>
      <c r="AK216" s="223">
        <f>IFERROR(Plant_BD[[#This Row],[Breakdown Time]]*Plant_BD[[#This Row],[Plant Equivalent Weightage]],"")</f>
        <v>1.6721190888803E-2</v>
      </c>
      <c r="AL216" s="6">
        <v>0.77</v>
      </c>
      <c r="AM216" s="221">
        <f>_xlfn.XLOOKUP($G216,'Modelling New'!$D:$D,'Modelling New'!$O:$O)*Plant_BD[[#This Row],[Lost PoA(kWh/m2)]]*Plant_BD[[#This Row],[DC Capacity Affected (kW)]]</f>
        <v>60.760052203682065</v>
      </c>
      <c r="AN216" s="6"/>
      <c r="AO216" s="6"/>
      <c r="AP216" s="224"/>
    </row>
    <row r="217" spans="1:42" x14ac:dyDescent="0.3">
      <c r="A217" s="171">
        <v>216</v>
      </c>
      <c r="B217" s="200">
        <v>45802</v>
      </c>
      <c r="C217" s="212">
        <f>YEAR(Plant_BD[[#This Row],[Date]])+IF(MONTH(Plant_BD[[#This Row],[Date]])&gt;=4,1,0)</f>
        <v>2026</v>
      </c>
      <c r="D217" s="212">
        <f>YEAR(Plant_BD[[#This Row],[Date]])</f>
        <v>2025</v>
      </c>
      <c r="E217" s="77" t="s">
        <v>1070</v>
      </c>
      <c r="F217" s="77" t="s">
        <v>1070</v>
      </c>
      <c r="G217" s="213">
        <f>Plant_BD[[#This Row],[Date]]-DAY(Plant_BD[[#This Row],[Date]])+1</f>
        <v>45778</v>
      </c>
      <c r="H217" s="3">
        <f>DAY(EOMONTH(Plant_BD[[#This Row],[Month Year]],0))</f>
        <v>31</v>
      </c>
      <c r="I217" s="214">
        <f>_xlfn.XLOOKUP(Plant_BD[[#This Row],[Date]],'Raw Data'!$G:$G,'Raw Data'!$I:$I)</f>
        <v>0.24374999999999999</v>
      </c>
      <c r="J217" s="214">
        <f>_xlfn.XLOOKUP(Plant_BD[[#This Row],[Date]],'Raw Data'!$G:$G,'Raw Data'!$J:$J)</f>
        <v>0.77986111111111112</v>
      </c>
      <c r="K217" s="215">
        <f>IFERROR((Plant_BD[[#This Row],[Sunset Time (POA&lt;20 W/m2)]]-Plant_BD[[#This Row],[Sunrise Time (POA&gt;20 W/m2)]])*24,"")</f>
        <v>12.866666666666667</v>
      </c>
      <c r="L217" s="215"/>
      <c r="M217" s="215"/>
      <c r="N217" s="215"/>
      <c r="O217" s="215"/>
      <c r="P217" s="215"/>
      <c r="Q217" s="215"/>
      <c r="R217" s="215"/>
      <c r="S217" s="215"/>
      <c r="T217" s="216" t="s">
        <v>170</v>
      </c>
      <c r="U217" s="16">
        <f>IFERROR(_xlfn.XLOOKUP(Plant_BD[[#This Row],[Affected Equipment]],'Basic Data'!$A:$A,'Basic Data'!$B:$B),"")</f>
        <v>2695.5</v>
      </c>
      <c r="V217" s="217">
        <f>IFERROR(_xlfn.XLOOKUP(Plant_BD[[#This Row],[Affected Equipment]],'Basic Data'!$A:$A,'Basic Data'!$C:$C),"")</f>
        <v>0.33605954444015013</v>
      </c>
      <c r="W217" s="218" t="s">
        <v>1187</v>
      </c>
      <c r="X217" s="218" t="s">
        <v>313</v>
      </c>
      <c r="Y217" s="218"/>
      <c r="Z217" s="219" t="s">
        <v>313</v>
      </c>
      <c r="AA217" s="220">
        <v>0.6381944444444444</v>
      </c>
      <c r="AB217" s="220"/>
      <c r="AC217" s="220"/>
      <c r="AD217" s="220">
        <v>0.64861111111111114</v>
      </c>
      <c r="AE217" s="221">
        <f>IF(Plant_BD[[#This Row],[Acknowledgement Time ]]="NA","",(Plant_BD[[#This Row],[Acknowledgement Time ]]-Plant_BD[[#This Row],[Fault Time]])*24)</f>
        <v>-15.316666666666666</v>
      </c>
      <c r="AF217" s="221">
        <f>IF(Plant_BD[[#This Row],[Work Start time on Fault]]="NA","",(Plant_BD[[#This Row],[Work Start time on Fault]]-Plant_BD[[#This Row],[Fault Time]])*24)</f>
        <v>-15.316666666666666</v>
      </c>
      <c r="AG217" s="17">
        <f>(Plant_BD[[#This Row],[Work Completion time on fault]]-Plant_BD[[#This Row],[Fault Time]])*24</f>
        <v>0.25000000000000178</v>
      </c>
      <c r="AH217" s="17">
        <f>IFERROR((Plant_BD[[#This Row],[Work Completion time on fault]]-Plant_BD[[#This Row],[Fault Time]])*24,"")</f>
        <v>0.25000000000000178</v>
      </c>
      <c r="AI217" s="222" t="s">
        <v>1074</v>
      </c>
      <c r="AJ217" s="6" t="s">
        <v>1069</v>
      </c>
      <c r="AK217" s="223">
        <f>IFERROR(Plant_BD[[#This Row],[Breakdown Time]]*Plant_BD[[#This Row],[Plant Equivalent Weightage]],"")</f>
        <v>8.4014886110038128E-2</v>
      </c>
      <c r="AL217" s="6">
        <v>7.0000000000000007E-2</v>
      </c>
      <c r="AM217" s="221">
        <f>_xlfn.XLOOKUP($G217,'Modelling New'!$D:$D,'Modelling New'!$O:$O)*Plant_BD[[#This Row],[Lost PoA(kWh/m2)]]*Plant_BD[[#This Row],[DC Capacity Affected (kW)]]</f>
        <v>131.36557799944256</v>
      </c>
      <c r="AN217" s="6"/>
      <c r="AO217" s="6"/>
      <c r="AP217" s="224"/>
    </row>
    <row r="218" spans="1:42" x14ac:dyDescent="0.3">
      <c r="A218" s="171">
        <v>217</v>
      </c>
      <c r="B218" s="200">
        <v>45857</v>
      </c>
      <c r="C218" s="212">
        <f>YEAR(Plant_BD[[#This Row],[Date]])+IF(MONTH(Plant_BD[[#This Row],[Date]])&gt;=4,1,0)</f>
        <v>2026</v>
      </c>
      <c r="D218" s="212">
        <f>YEAR(Plant_BD[[#This Row],[Date]])</f>
        <v>2025</v>
      </c>
      <c r="E218" s="77" t="s">
        <v>1070</v>
      </c>
      <c r="F218" s="77" t="s">
        <v>1070</v>
      </c>
      <c r="G218" s="213">
        <f>Plant_BD[[#This Row],[Date]]-DAY(Plant_BD[[#This Row],[Date]])+1</f>
        <v>45839</v>
      </c>
      <c r="H218" s="3">
        <f>DAY(EOMONTH(Plant_BD[[#This Row],[Month Year]],0))</f>
        <v>31</v>
      </c>
      <c r="I218" s="214">
        <f>_xlfn.XLOOKUP(Plant_BD[[#This Row],[Date]],'Raw Data'!$G:$G,'Raw Data'!$I:$I)</f>
        <v>0.26458333333333334</v>
      </c>
      <c r="J218" s="214">
        <f>_xlfn.XLOOKUP(Plant_BD[[#This Row],[Date]],'Raw Data'!$G:$G,'Raw Data'!$J:$J)</f>
        <v>0.77152777777777781</v>
      </c>
      <c r="K218" s="215">
        <f>IFERROR((Plant_BD[[#This Row],[Sunset Time (POA&lt;20 W/m2)]]-Plant_BD[[#This Row],[Sunrise Time (POA&gt;20 W/m2)]])*24,"")</f>
        <v>12.166666666666666</v>
      </c>
      <c r="L218" s="215"/>
      <c r="M218" s="215"/>
      <c r="N218" s="215"/>
      <c r="O218" s="215"/>
      <c r="P218" s="215"/>
      <c r="Q218" s="215"/>
      <c r="R218" s="215"/>
      <c r="S218" s="215"/>
      <c r="T218" s="216" t="s">
        <v>168</v>
      </c>
      <c r="U218" s="16">
        <f>IFERROR(_xlfn.XLOOKUP(Plant_BD[[#This Row],[Affected Equipment]],'Basic Data'!$A:$A,'Basic Data'!$B:$B),"")</f>
        <v>2694.6</v>
      </c>
      <c r="V218" s="217">
        <f>IFERROR(_xlfn.XLOOKUP(Plant_BD[[#This Row],[Affected Equipment]],'Basic Data'!$A:$A,'Basic Data'!$C:$C),"")</f>
        <v>0.33594733758057077</v>
      </c>
      <c r="W218" s="218" t="s">
        <v>311</v>
      </c>
      <c r="X218" s="218" t="s">
        <v>313</v>
      </c>
      <c r="Y218" s="218"/>
      <c r="Z218" s="219" t="s">
        <v>313</v>
      </c>
      <c r="AA218" s="220">
        <v>0.26458333333333334</v>
      </c>
      <c r="AB218" s="220"/>
      <c r="AC218" s="220"/>
      <c r="AD218" s="220">
        <v>0.3263888888888889</v>
      </c>
      <c r="AE218" s="221">
        <f>IF(Plant_BD[[#This Row],[Acknowledgement Time ]]="NA","",(Plant_BD[[#This Row],[Acknowledgement Time ]]-Plant_BD[[#This Row],[Fault Time]])*24)</f>
        <v>-6.35</v>
      </c>
      <c r="AF218" s="221">
        <f>IF(Plant_BD[[#This Row],[Work Start time on Fault]]="NA","",(Plant_BD[[#This Row],[Work Start time on Fault]]-Plant_BD[[#This Row],[Fault Time]])*24)</f>
        <v>-6.35</v>
      </c>
      <c r="AG218" s="17">
        <f>(Plant_BD[[#This Row],[Work Completion time on fault]]-Plant_BD[[#This Row],[Fault Time]])*24</f>
        <v>1.4833333333333334</v>
      </c>
      <c r="AH218" s="17">
        <f>IFERROR((Plant_BD[[#This Row],[Work Completion time on fault]]-Plant_BD[[#This Row],[Fault Time]])*24,"")</f>
        <v>1.4833333333333334</v>
      </c>
      <c r="AI218" s="222" t="s">
        <v>1074</v>
      </c>
      <c r="AJ218" s="6" t="s">
        <v>1069</v>
      </c>
      <c r="AK218" s="223">
        <f>IFERROR(Plant_BD[[#This Row],[Breakdown Time]]*Plant_BD[[#This Row],[Plant Equivalent Weightage]],"")</f>
        <v>0.49832188407784667</v>
      </c>
      <c r="AL218" s="6">
        <v>0.21</v>
      </c>
      <c r="AM218" s="221">
        <f>_xlfn.XLOOKUP($G218,'Modelling New'!$D:$D,'Modelling New'!$O:$O)*Plant_BD[[#This Row],[Lost PoA(kWh/m2)]]*Plant_BD[[#This Row],[DC Capacity Affected (kW)]]</f>
        <v>399.9058406640919</v>
      </c>
      <c r="AN218" s="6"/>
      <c r="AO218" s="6"/>
      <c r="AP218" s="224"/>
    </row>
    <row r="219" spans="1:42" x14ac:dyDescent="0.3">
      <c r="A219" s="171">
        <v>218</v>
      </c>
      <c r="B219" s="200">
        <v>45859</v>
      </c>
      <c r="C219" s="212">
        <f>YEAR(Plant_BD[[#This Row],[Date]])+IF(MONTH(Plant_BD[[#This Row],[Date]])&gt;=4,1,0)</f>
        <v>2026</v>
      </c>
      <c r="D219" s="212">
        <f>YEAR(Plant_BD[[#This Row],[Date]])</f>
        <v>2025</v>
      </c>
      <c r="E219" s="77" t="s">
        <v>1070</v>
      </c>
      <c r="F219" s="77" t="s">
        <v>1070</v>
      </c>
      <c r="G219" s="213">
        <f>Plant_BD[[#This Row],[Date]]-DAY(Plant_BD[[#This Row],[Date]])+1</f>
        <v>45839</v>
      </c>
      <c r="H219" s="3">
        <f>DAY(EOMONTH(Plant_BD[[#This Row],[Month Year]],0))</f>
        <v>31</v>
      </c>
      <c r="I219" s="214">
        <f>_xlfn.XLOOKUP(Plant_BD[[#This Row],[Date]],'Raw Data'!$G:$G,'Raw Data'!$I:$I)</f>
        <v>0.25694444444444442</v>
      </c>
      <c r="J219" s="214">
        <f>_xlfn.XLOOKUP(Plant_BD[[#This Row],[Date]],'Raw Data'!$G:$G,'Raw Data'!$J:$J)</f>
        <v>0.78263888888888888</v>
      </c>
      <c r="K219" s="215">
        <f>IFERROR((Plant_BD[[#This Row],[Sunset Time (POA&lt;20 W/m2)]]-Plant_BD[[#This Row],[Sunrise Time (POA&gt;20 W/m2)]])*24,"")</f>
        <v>12.616666666666667</v>
      </c>
      <c r="L219" s="215"/>
      <c r="M219" s="215"/>
      <c r="N219" s="215"/>
      <c r="O219" s="215"/>
      <c r="P219" s="215"/>
      <c r="Q219" s="215"/>
      <c r="R219" s="215"/>
      <c r="S219" s="215"/>
      <c r="T219" s="216" t="s">
        <v>168</v>
      </c>
      <c r="U219" s="16">
        <f>IFERROR(_xlfn.XLOOKUP(Plant_BD[[#This Row],[Affected Equipment]],'Basic Data'!$A:$A,'Basic Data'!$B:$B),"")</f>
        <v>2694.6</v>
      </c>
      <c r="V219" s="217">
        <f>IFERROR(_xlfn.XLOOKUP(Plant_BD[[#This Row],[Affected Equipment]],'Basic Data'!$A:$A,'Basic Data'!$C:$C),"")</f>
        <v>0.33594733758057077</v>
      </c>
      <c r="W219" s="218" t="s">
        <v>311</v>
      </c>
      <c r="X219" s="218" t="s">
        <v>1194</v>
      </c>
      <c r="Y219" s="218"/>
      <c r="Z219" s="219" t="s">
        <v>1194</v>
      </c>
      <c r="AA219" s="220">
        <v>0.40277777777777779</v>
      </c>
      <c r="AB219" s="220"/>
      <c r="AC219" s="220"/>
      <c r="AD219" s="220">
        <v>0.41666666666666669</v>
      </c>
      <c r="AE219" s="221">
        <f>IF(Plant_BD[[#This Row],[Acknowledgement Time ]]="NA","",(Plant_BD[[#This Row],[Acknowledgement Time ]]-Plant_BD[[#This Row],[Fault Time]])*24)</f>
        <v>-9.6666666666666679</v>
      </c>
      <c r="AF219" s="221">
        <f>IF(Plant_BD[[#This Row],[Work Start time on Fault]]="NA","",(Plant_BD[[#This Row],[Work Start time on Fault]]-Plant_BD[[#This Row],[Fault Time]])*24)</f>
        <v>-9.6666666666666679</v>
      </c>
      <c r="AG219" s="17">
        <f>(Plant_BD[[#This Row],[Work Completion time on fault]]-Plant_BD[[#This Row],[Fault Time]])*24</f>
        <v>0.33333333333333348</v>
      </c>
      <c r="AH219" s="17">
        <f>IFERROR((Plant_BD[[#This Row],[Work Completion time on fault]]-Plant_BD[[#This Row],[Fault Time]])*24,"")</f>
        <v>0.33333333333333348</v>
      </c>
      <c r="AI219" s="222" t="s">
        <v>1195</v>
      </c>
      <c r="AJ219" s="6" t="s">
        <v>1069</v>
      </c>
      <c r="AK219" s="223">
        <f>IFERROR(Plant_BD[[#This Row],[Breakdown Time]]*Plant_BD[[#This Row],[Plant Equivalent Weightage]],"")</f>
        <v>0.11198244586019031</v>
      </c>
      <c r="AL219" s="6">
        <v>0.15</v>
      </c>
      <c r="AM219" s="221">
        <f>_xlfn.XLOOKUP($G219,'Modelling New'!$D:$D,'Modelling New'!$O:$O)*Plant_BD[[#This Row],[Lost PoA(kWh/m2)]]*Plant_BD[[#This Row],[DC Capacity Affected (kW)]]</f>
        <v>285.6470290457799</v>
      </c>
      <c r="AN219" s="6"/>
      <c r="AO219" s="6"/>
      <c r="AP219" s="224"/>
    </row>
    <row r="220" spans="1:42" x14ac:dyDescent="0.3">
      <c r="A220" s="171">
        <v>219</v>
      </c>
      <c r="B220" s="200">
        <v>45864</v>
      </c>
      <c r="C220" s="212">
        <f>YEAR(Plant_BD[[#This Row],[Date]])+IF(MONTH(Plant_BD[[#This Row],[Date]])&gt;=4,1,0)</f>
        <v>2026</v>
      </c>
      <c r="D220" s="212">
        <f>YEAR(Plant_BD[[#This Row],[Date]])</f>
        <v>2025</v>
      </c>
      <c r="E220" s="77" t="s">
        <v>1070</v>
      </c>
      <c r="F220" s="77" t="s">
        <v>1070</v>
      </c>
      <c r="G220" s="213">
        <f>Plant_BD[[#This Row],[Date]]-DAY(Plant_BD[[#This Row],[Date]])+1</f>
        <v>45839</v>
      </c>
      <c r="H220" s="3">
        <f>DAY(EOMONTH(Plant_BD[[#This Row],[Month Year]],0))</f>
        <v>31</v>
      </c>
      <c r="I220" s="214">
        <f>_xlfn.XLOOKUP(Plant_BD[[#This Row],[Date]],'Raw Data'!$G:$G,'Raw Data'!$I:$I)</f>
        <v>0.26527777777777778</v>
      </c>
      <c r="J220" s="214">
        <f>_xlfn.XLOOKUP(Plant_BD[[#This Row],[Date]],'Raw Data'!$G:$G,'Raw Data'!$J:$J)</f>
        <v>0.76180555555555551</v>
      </c>
      <c r="K220" s="215">
        <f>IFERROR((Plant_BD[[#This Row],[Sunset Time (POA&lt;20 W/m2)]]-Plant_BD[[#This Row],[Sunrise Time (POA&gt;20 W/m2)]])*24,"")</f>
        <v>11.916666666666666</v>
      </c>
      <c r="L220" s="215"/>
      <c r="M220" s="215"/>
      <c r="N220" s="215"/>
      <c r="O220" s="215"/>
      <c r="P220" s="215"/>
      <c r="Q220" s="215"/>
      <c r="R220" s="215"/>
      <c r="S220" s="215"/>
      <c r="T220" s="216" t="s">
        <v>169</v>
      </c>
      <c r="U220" s="16">
        <f>IFERROR(_xlfn.XLOOKUP(Plant_BD[[#This Row],[Affected Equipment]],'Basic Data'!$A:$A,'Basic Data'!$B:$B),"")</f>
        <v>2630.8</v>
      </c>
      <c r="V220" s="217">
        <f>IFERROR(_xlfn.XLOOKUP(Plant_BD[[#This Row],[Affected Equipment]],'Basic Data'!$A:$A,'Basic Data'!$C:$C),"")</f>
        <v>0.32799311797927916</v>
      </c>
      <c r="W220" s="218" t="s">
        <v>291</v>
      </c>
      <c r="X220" s="218" t="s">
        <v>313</v>
      </c>
      <c r="Y220" s="218"/>
      <c r="Z220" s="219" t="s">
        <v>313</v>
      </c>
      <c r="AA220" s="220">
        <v>0.42986111111111114</v>
      </c>
      <c r="AB220" s="220"/>
      <c r="AC220" s="220"/>
      <c r="AD220" s="220">
        <v>0.5131944444444444</v>
      </c>
      <c r="AE220" s="221">
        <f>IF(Plant_BD[[#This Row],[Acknowledgement Time ]]="NA","",(Plant_BD[[#This Row],[Acknowledgement Time ]]-Plant_BD[[#This Row],[Fault Time]])*24)</f>
        <v>-10.316666666666666</v>
      </c>
      <c r="AF220" s="221">
        <f>IF(Plant_BD[[#This Row],[Work Start time on Fault]]="NA","",(Plant_BD[[#This Row],[Work Start time on Fault]]-Plant_BD[[#This Row],[Fault Time]])*24)</f>
        <v>-10.316666666666666</v>
      </c>
      <c r="AG220" s="17">
        <f>(Plant_BD[[#This Row],[Work Completion time on fault]]-Plant_BD[[#This Row],[Fault Time]])*24</f>
        <v>1.9999999999999982</v>
      </c>
      <c r="AH220" s="17">
        <f>IFERROR((Plant_BD[[#This Row],[Work Completion time on fault]]-Plant_BD[[#This Row],[Fault Time]])*24,"")</f>
        <v>1.9999999999999982</v>
      </c>
      <c r="AI220" s="222" t="s">
        <v>1196</v>
      </c>
      <c r="AJ220" s="6" t="s">
        <v>1069</v>
      </c>
      <c r="AK220" s="223">
        <f>IFERROR(Plant_BD[[#This Row],[Breakdown Time]]*Plant_BD[[#This Row],[Plant Equivalent Weightage]],"")</f>
        <v>0.65598623595855776</v>
      </c>
      <c r="AL220" s="6">
        <v>0.31</v>
      </c>
      <c r="AM220" s="221">
        <f>_xlfn.XLOOKUP($G220,'Modelling New'!$D:$D,'Modelling New'!$O:$O)*Plant_BD[[#This Row],[Lost PoA(kWh/m2)]]*Plant_BD[[#This Row],[DC Capacity Affected (kW)]]</f>
        <v>576.35978931746888</v>
      </c>
      <c r="AN220" s="6"/>
      <c r="AO220" s="6"/>
      <c r="AP220" s="224"/>
    </row>
    <row r="221" spans="1:42" x14ac:dyDescent="0.3">
      <c r="A221" s="171">
        <v>220</v>
      </c>
      <c r="B221" s="200">
        <v>45864</v>
      </c>
      <c r="C221" s="212">
        <f>YEAR(Plant_BD[[#This Row],[Date]])+IF(MONTH(Plant_BD[[#This Row],[Date]])&gt;=4,1,0)</f>
        <v>2026</v>
      </c>
      <c r="D221" s="212">
        <f>YEAR(Plant_BD[[#This Row],[Date]])</f>
        <v>2025</v>
      </c>
      <c r="E221" s="77" t="s">
        <v>1070</v>
      </c>
      <c r="F221" s="77" t="s">
        <v>1070</v>
      </c>
      <c r="G221" s="213">
        <f>Plant_BD[[#This Row],[Date]]-DAY(Plant_BD[[#This Row],[Date]])+1</f>
        <v>45839</v>
      </c>
      <c r="H221" s="3">
        <f>DAY(EOMONTH(Plant_BD[[#This Row],[Month Year]],0))</f>
        <v>31</v>
      </c>
      <c r="I221" s="214">
        <f>_xlfn.XLOOKUP(Plant_BD[[#This Row],[Date]],'Raw Data'!$G:$G,'Raw Data'!$I:$I)</f>
        <v>0.26527777777777778</v>
      </c>
      <c r="J221" s="214">
        <f>_xlfn.XLOOKUP(Plant_BD[[#This Row],[Date]],'Raw Data'!$G:$G,'Raw Data'!$J:$J)</f>
        <v>0.76180555555555551</v>
      </c>
      <c r="K221" s="215">
        <f>IFERROR((Plant_BD[[#This Row],[Sunset Time (POA&lt;20 W/m2)]]-Plant_BD[[#This Row],[Sunrise Time (POA&gt;20 W/m2)]])*24,"")</f>
        <v>11.916666666666666</v>
      </c>
      <c r="L221" s="215"/>
      <c r="M221" s="215"/>
      <c r="N221" s="215"/>
      <c r="O221" s="215"/>
      <c r="P221" s="215"/>
      <c r="Q221" s="215"/>
      <c r="R221" s="215"/>
      <c r="S221" s="215"/>
      <c r="T221" s="216" t="s">
        <v>207</v>
      </c>
      <c r="U221" s="16">
        <f>IFERROR(_xlfn.XLOOKUP(Plant_BD[[#This Row],[Affected Equipment]],'Basic Data'!$A:$A,'Basic Data'!$B:$B),"")</f>
        <v>109.8</v>
      </c>
      <c r="V221" s="217">
        <f>IFERROR(_xlfn.XLOOKUP(Plant_BD[[#This Row],[Affected Equipment]],'Basic Data'!$A:$A,'Basic Data'!$C:$C),"")</f>
        <v>1.3689236868680572E-2</v>
      </c>
      <c r="W221" s="218" t="s">
        <v>291</v>
      </c>
      <c r="X221" s="218" t="s">
        <v>313</v>
      </c>
      <c r="Y221" s="218"/>
      <c r="Z221" s="219" t="s">
        <v>313</v>
      </c>
      <c r="AA221" s="220">
        <v>0.51388888888888884</v>
      </c>
      <c r="AB221" s="220"/>
      <c r="AC221" s="220"/>
      <c r="AD221" s="220">
        <v>0.54166666666666663</v>
      </c>
      <c r="AE221" s="221">
        <f>IF(Plant_BD[[#This Row],[Acknowledgement Time ]]="NA","",(Plant_BD[[#This Row],[Acknowledgement Time ]]-Plant_BD[[#This Row],[Fault Time]])*24)</f>
        <v>-12.333333333333332</v>
      </c>
      <c r="AF221" s="221">
        <f>IF(Plant_BD[[#This Row],[Work Start time on Fault]]="NA","",(Plant_BD[[#This Row],[Work Start time on Fault]]-Plant_BD[[#This Row],[Fault Time]])*24)</f>
        <v>-12.333333333333332</v>
      </c>
      <c r="AG221" s="17">
        <f>(Plant_BD[[#This Row],[Work Completion time on fault]]-Plant_BD[[#This Row],[Fault Time]])*24</f>
        <v>0.66666666666666696</v>
      </c>
      <c r="AH221" s="17">
        <f>IFERROR((Plant_BD[[#This Row],[Work Completion time on fault]]-Plant_BD[[#This Row],[Fault Time]])*24,"")</f>
        <v>0.66666666666666696</v>
      </c>
      <c r="AI221" s="222" t="s">
        <v>1188</v>
      </c>
      <c r="AJ221" s="6" t="s">
        <v>1069</v>
      </c>
      <c r="AK221" s="223">
        <f>IFERROR(Plant_BD[[#This Row],[Breakdown Time]]*Plant_BD[[#This Row],[Plant Equivalent Weightage]],"")</f>
        <v>9.1261579124537195E-3</v>
      </c>
      <c r="AL221" s="6">
        <v>0.1</v>
      </c>
      <c r="AM221" s="221">
        <f>_xlfn.XLOOKUP($G221,'Modelling New'!$D:$D,'Modelling New'!$O:$O)*Plant_BD[[#This Row],[Lost PoA(kWh/m2)]]*Plant_BD[[#This Row],[DC Capacity Affected (kW)]]</f>
        <v>7.7597277986161552</v>
      </c>
      <c r="AN221" s="6"/>
      <c r="AO221" s="6"/>
      <c r="AP221" s="224"/>
    </row>
    <row r="222" spans="1:42" x14ac:dyDescent="0.3">
      <c r="A222" s="171">
        <v>221</v>
      </c>
      <c r="B222" s="200">
        <v>45864</v>
      </c>
      <c r="C222" s="212">
        <f>YEAR(Plant_BD[[#This Row],[Date]])+IF(MONTH(Plant_BD[[#This Row],[Date]])&gt;=4,1,0)</f>
        <v>2026</v>
      </c>
      <c r="D222" s="212">
        <f>YEAR(Plant_BD[[#This Row],[Date]])</f>
        <v>2025</v>
      </c>
      <c r="E222" s="77" t="s">
        <v>1070</v>
      </c>
      <c r="F222" s="77" t="s">
        <v>1070</v>
      </c>
      <c r="G222" s="213">
        <f>Plant_BD[[#This Row],[Date]]-DAY(Plant_BD[[#This Row],[Date]])+1</f>
        <v>45839</v>
      </c>
      <c r="H222" s="3">
        <f>DAY(EOMONTH(Plant_BD[[#This Row],[Month Year]],0))</f>
        <v>31</v>
      </c>
      <c r="I222" s="214">
        <f>_xlfn.XLOOKUP(Plant_BD[[#This Row],[Date]],'Raw Data'!$G:$G,'Raw Data'!$I:$I)</f>
        <v>0.26527777777777778</v>
      </c>
      <c r="J222" s="214">
        <f>_xlfn.XLOOKUP(Plant_BD[[#This Row],[Date]],'Raw Data'!$G:$G,'Raw Data'!$J:$J)</f>
        <v>0.76180555555555551</v>
      </c>
      <c r="K222" s="215">
        <f>IFERROR((Plant_BD[[#This Row],[Sunset Time (POA&lt;20 W/m2)]]-Plant_BD[[#This Row],[Sunrise Time (POA&gt;20 W/m2)]])*24,"")</f>
        <v>11.916666666666666</v>
      </c>
      <c r="L222" s="215"/>
      <c r="M222" s="215"/>
      <c r="N222" s="215"/>
      <c r="O222" s="215"/>
      <c r="P222" s="215"/>
      <c r="Q222" s="215"/>
      <c r="R222" s="215"/>
      <c r="S222" s="215"/>
      <c r="T222" s="216" t="s">
        <v>209</v>
      </c>
      <c r="U222" s="16">
        <f>IFERROR(_xlfn.XLOOKUP(Plant_BD[[#This Row],[Affected Equipment]],'Basic Data'!$A:$A,'Basic Data'!$B:$B),"")</f>
        <v>109.8</v>
      </c>
      <c r="V222" s="217">
        <f>IFERROR(_xlfn.XLOOKUP(Plant_BD[[#This Row],[Affected Equipment]],'Basic Data'!$A:$A,'Basic Data'!$C:$C),"")</f>
        <v>1.3689236868680572E-2</v>
      </c>
      <c r="W222" s="218" t="s">
        <v>291</v>
      </c>
      <c r="X222" s="218" t="s">
        <v>313</v>
      </c>
      <c r="Y222" s="218"/>
      <c r="Z222" s="219" t="s">
        <v>313</v>
      </c>
      <c r="AA222" s="220">
        <v>0.51388888888888884</v>
      </c>
      <c r="AB222" s="220"/>
      <c r="AC222" s="220"/>
      <c r="AD222" s="220">
        <v>0.54166666666666663</v>
      </c>
      <c r="AE222" s="221">
        <f>IF(Plant_BD[[#This Row],[Acknowledgement Time ]]="NA","",(Plant_BD[[#This Row],[Acknowledgement Time ]]-Plant_BD[[#This Row],[Fault Time]])*24)</f>
        <v>-12.333333333333332</v>
      </c>
      <c r="AF222" s="221">
        <f>IF(Plant_BD[[#This Row],[Work Start time on Fault]]="NA","",(Plant_BD[[#This Row],[Work Start time on Fault]]-Plant_BD[[#This Row],[Fault Time]])*24)</f>
        <v>-12.333333333333332</v>
      </c>
      <c r="AG222" s="17">
        <f>(Plant_BD[[#This Row],[Work Completion time on fault]]-Plant_BD[[#This Row],[Fault Time]])*24</f>
        <v>0.66666666666666696</v>
      </c>
      <c r="AH222" s="17">
        <f>IFERROR((Plant_BD[[#This Row],[Work Completion time on fault]]-Plant_BD[[#This Row],[Fault Time]])*24,"")</f>
        <v>0.66666666666666696</v>
      </c>
      <c r="AI222" s="222" t="s">
        <v>1188</v>
      </c>
      <c r="AJ222" s="6" t="s">
        <v>1069</v>
      </c>
      <c r="AK222" s="223">
        <f>IFERROR(Plant_BD[[#This Row],[Breakdown Time]]*Plant_BD[[#This Row],[Plant Equivalent Weightage]],"")</f>
        <v>9.1261579124537195E-3</v>
      </c>
      <c r="AL222" s="6">
        <v>0.1</v>
      </c>
      <c r="AM222" s="221">
        <f>_xlfn.XLOOKUP($G222,'Modelling New'!$D:$D,'Modelling New'!$O:$O)*Plant_BD[[#This Row],[Lost PoA(kWh/m2)]]*Plant_BD[[#This Row],[DC Capacity Affected (kW)]]</f>
        <v>7.7597277986161552</v>
      </c>
      <c r="AN222" s="6"/>
      <c r="AO222" s="6"/>
      <c r="AP222" s="224"/>
    </row>
    <row r="223" spans="1:42" x14ac:dyDescent="0.3">
      <c r="A223" s="171">
        <v>222</v>
      </c>
      <c r="B223" s="200">
        <v>45868</v>
      </c>
      <c r="C223" s="212">
        <f>YEAR(Plant_BD[[#This Row],[Date]])+IF(MONTH(Plant_BD[[#This Row],[Date]])&gt;=4,1,0)</f>
        <v>2026</v>
      </c>
      <c r="D223" s="212">
        <f>YEAR(Plant_BD[[#This Row],[Date]])</f>
        <v>2025</v>
      </c>
      <c r="E223" s="77" t="s">
        <v>1070</v>
      </c>
      <c r="F223" s="77" t="s">
        <v>1070</v>
      </c>
      <c r="G223" s="213">
        <f>Plant_BD[[#This Row],[Date]]-DAY(Plant_BD[[#This Row],[Date]])+1</f>
        <v>45839</v>
      </c>
      <c r="H223" s="3">
        <f>DAY(EOMONTH(Plant_BD[[#This Row],[Month Year]],0))</f>
        <v>31</v>
      </c>
      <c r="I223" s="214">
        <f>_xlfn.XLOOKUP(Plant_BD[[#This Row],[Date]],'Raw Data'!$G:$G,'Raw Data'!$I:$I)</f>
        <v>0.2590277777777778</v>
      </c>
      <c r="J223" s="214">
        <f>_xlfn.XLOOKUP(Plant_BD[[#This Row],[Date]],'Raw Data'!$G:$G,'Raw Data'!$J:$J)</f>
        <v>0.77222222222222225</v>
      </c>
      <c r="K223" s="215">
        <f>IFERROR((Plant_BD[[#This Row],[Sunset Time (POA&lt;20 W/m2)]]-Plant_BD[[#This Row],[Sunrise Time (POA&gt;20 W/m2)]])*24,"")</f>
        <v>12.316666666666668</v>
      </c>
      <c r="L223" s="215"/>
      <c r="M223" s="215"/>
      <c r="N223" s="215"/>
      <c r="O223" s="215"/>
      <c r="P223" s="215"/>
      <c r="Q223" s="215"/>
      <c r="R223" s="215"/>
      <c r="S223" s="215"/>
      <c r="T223" s="216" t="s">
        <v>168</v>
      </c>
      <c r="U223" s="16">
        <f>IFERROR(_xlfn.XLOOKUP(Plant_BD[[#This Row],[Affected Equipment]],'Basic Data'!$A:$A,'Basic Data'!$B:$B),"")</f>
        <v>2694.6</v>
      </c>
      <c r="V223" s="217">
        <f>IFERROR(_xlfn.XLOOKUP(Plant_BD[[#This Row],[Affected Equipment]],'Basic Data'!$A:$A,'Basic Data'!$C:$C),"")</f>
        <v>0.33594733758057077</v>
      </c>
      <c r="W223" s="218" t="s">
        <v>311</v>
      </c>
      <c r="X223" s="218" t="s">
        <v>313</v>
      </c>
      <c r="Y223" s="218"/>
      <c r="Z223" s="219" t="s">
        <v>313</v>
      </c>
      <c r="AA223" s="220">
        <v>0.67569444444444449</v>
      </c>
      <c r="AB223" s="220"/>
      <c r="AC223" s="220"/>
      <c r="AD223" s="220">
        <v>0.72291666666666665</v>
      </c>
      <c r="AE223" s="221">
        <f>IF(Plant_BD[[#This Row],[Acknowledgement Time ]]="NA","",(Plant_BD[[#This Row],[Acknowledgement Time ]]-Plant_BD[[#This Row],[Fault Time]])*24)</f>
        <v>-16.216666666666669</v>
      </c>
      <c r="AF223" s="221">
        <f>IF(Plant_BD[[#This Row],[Work Start time on Fault]]="NA","",(Plant_BD[[#This Row],[Work Start time on Fault]]-Plant_BD[[#This Row],[Fault Time]])*24)</f>
        <v>-16.216666666666669</v>
      </c>
      <c r="AG223" s="17">
        <f>(Plant_BD[[#This Row],[Work Completion time on fault]]-Plant_BD[[#This Row],[Fault Time]])*24</f>
        <v>1.133333333333332</v>
      </c>
      <c r="AH223" s="17">
        <f>IFERROR((Plant_BD[[#This Row],[Work Completion time on fault]]-Plant_BD[[#This Row],[Fault Time]])*24,"")</f>
        <v>1.133333333333332</v>
      </c>
      <c r="AI223" s="222" t="s">
        <v>1196</v>
      </c>
      <c r="AJ223" s="6" t="s">
        <v>1069</v>
      </c>
      <c r="AK223" s="223">
        <f>IFERROR(Plant_BD[[#This Row],[Breakdown Time]]*Plant_BD[[#This Row],[Plant Equivalent Weightage]],"")</f>
        <v>0.38074031592464641</v>
      </c>
      <c r="AL223" s="6">
        <v>0.06</v>
      </c>
      <c r="AM223" s="221">
        <f>_xlfn.XLOOKUP($G223,'Modelling New'!$D:$D,'Modelling New'!$O:$O)*Plant_BD[[#This Row],[Lost PoA(kWh/m2)]]*Plant_BD[[#This Row],[DC Capacity Affected (kW)]]</f>
        <v>114.25881161831198</v>
      </c>
      <c r="AN223" s="6"/>
      <c r="AO223" s="6"/>
      <c r="AP223" s="224"/>
    </row>
    <row r="224" spans="1:42" x14ac:dyDescent="0.3">
      <c r="A224" s="231">
        <v>223</v>
      </c>
      <c r="B224" s="201">
        <v>45868</v>
      </c>
      <c r="C224" s="212">
        <f>YEAR(Plant_BD[[#This Row],[Date]])+IF(MONTH(Plant_BD[[#This Row],[Date]])&gt;=4,1,0)</f>
        <v>2026</v>
      </c>
      <c r="D224" s="212">
        <f>YEAR(Plant_BD[[#This Row],[Date]])</f>
        <v>2025</v>
      </c>
      <c r="E224" s="77" t="s">
        <v>1070</v>
      </c>
      <c r="F224" s="77" t="s">
        <v>1070</v>
      </c>
      <c r="G224" s="213">
        <f>Plant_BD[[#This Row],[Date]]-DAY(Plant_BD[[#This Row],[Date]])+1</f>
        <v>45839</v>
      </c>
      <c r="H224" s="3">
        <f>DAY(EOMONTH(Plant_BD[[#This Row],[Month Year]],0))</f>
        <v>31</v>
      </c>
      <c r="I224" s="232">
        <f>_xlfn.XLOOKUP(Plant_BD[[#This Row],[Date]],'Raw Data'!$G:$G,'Raw Data'!$I:$I)</f>
        <v>0.2590277777777778</v>
      </c>
      <c r="J224" s="232">
        <f>_xlfn.XLOOKUP(Plant_BD[[#This Row],[Date]],'Raw Data'!$G:$G,'Raw Data'!$J:$J)</f>
        <v>0.77222222222222225</v>
      </c>
      <c r="K224" s="233">
        <f>IFERROR((Plant_BD[[#This Row],[Sunset Time (POA&lt;20 W/m2)]]-Plant_BD[[#This Row],[Sunrise Time (POA&gt;20 W/m2)]])*24,"")</f>
        <v>12.316666666666668</v>
      </c>
      <c r="L224" s="233"/>
      <c r="M224" s="233"/>
      <c r="N224" s="233"/>
      <c r="O224" s="233"/>
      <c r="P224" s="233"/>
      <c r="Q224" s="233"/>
      <c r="R224" s="233"/>
      <c r="S224" s="233"/>
      <c r="T224" s="216" t="s">
        <v>184</v>
      </c>
      <c r="U224" s="234">
        <f>IFERROR(_xlfn.XLOOKUP(Plant_BD[[#This Row],[Affected Equipment]],'Basic Data'!$A:$A,'Basic Data'!$B:$B),"")</f>
        <v>111.6</v>
      </c>
      <c r="V224" s="235">
        <f>IFERROR(_xlfn.XLOOKUP(Plant_BD[[#This Row],[Affected Equipment]],'Basic Data'!$A:$A,'Basic Data'!$C:$C),"")</f>
        <v>1.391365058783927E-2</v>
      </c>
      <c r="W224" s="236" t="s">
        <v>311</v>
      </c>
      <c r="X224" s="236" t="s">
        <v>313</v>
      </c>
      <c r="Y224" s="236"/>
      <c r="Z224" s="237" t="s">
        <v>313</v>
      </c>
      <c r="AA224" s="238">
        <v>0.72361111111111109</v>
      </c>
      <c r="AB224" s="238"/>
      <c r="AC224" s="238"/>
      <c r="AD224" s="238">
        <v>0.73611111111111116</v>
      </c>
      <c r="AE224" s="239">
        <f>IF(Plant_BD[[#This Row],[Acknowledgement Time ]]="NA","",(Plant_BD[[#This Row],[Acknowledgement Time ]]-Plant_BD[[#This Row],[Fault Time]])*24)</f>
        <v>-17.366666666666667</v>
      </c>
      <c r="AF224" s="239">
        <f>IF(Plant_BD[[#This Row],[Work Start time on Fault]]="NA","",(Plant_BD[[#This Row],[Work Start time on Fault]]-Plant_BD[[#This Row],[Fault Time]])*24)</f>
        <v>-17.366666666666667</v>
      </c>
      <c r="AG224" s="240">
        <f>(Plant_BD[[#This Row],[Work Completion time on fault]]-Plant_BD[[#This Row],[Fault Time]])*24</f>
        <v>0.3000000000000016</v>
      </c>
      <c r="AH224" s="240">
        <f>IFERROR((Plant_BD[[#This Row],[Work Completion time on fault]]-Plant_BD[[#This Row],[Fault Time]])*24,"")</f>
        <v>0.3000000000000016</v>
      </c>
      <c r="AI224" s="241" t="s">
        <v>1188</v>
      </c>
      <c r="AJ224" s="242" t="s">
        <v>1069</v>
      </c>
      <c r="AK224" s="223">
        <f>IFERROR(Plant_BD[[#This Row],[Breakdown Time]]*Plant_BD[[#This Row],[Plant Equivalent Weightage]],"")</f>
        <v>4.174095176351803E-3</v>
      </c>
      <c r="AL224" s="242">
        <v>1.4E-2</v>
      </c>
      <c r="AM224" s="239">
        <f>_xlfn.XLOOKUP($G224,'Modelling New'!$D:$D,'Modelling New'!$O:$O)*Plant_BD[[#This Row],[Lost PoA(kWh/m2)]]*Plant_BD[[#This Row],[DC Capacity Affected (kW)]]</f>
        <v>1.104171103147348</v>
      </c>
      <c r="AN224" s="242"/>
      <c r="AO224" s="242"/>
      <c r="AP224" s="243"/>
    </row>
    <row r="225" spans="1:42" x14ac:dyDescent="0.3">
      <c r="A225" s="171"/>
      <c r="B225" s="200"/>
      <c r="C225" s="249">
        <f>YEAR(Plant_BD[[#This Row],[Date]])+IF(MONTH(Plant_BD[[#This Row],[Date]])&gt;=4,1,0)</f>
        <v>1900</v>
      </c>
      <c r="D225" s="250">
        <f>YEAR(Plant_BD[[#This Row],[Date]])</f>
        <v>1900</v>
      </c>
      <c r="E225" s="77"/>
      <c r="F225" s="77"/>
      <c r="G225" s="213">
        <f>Plant_BD[[#This Row],[Date]]-DAY(Plant_BD[[#This Row],[Date]])+1</f>
        <v>1</v>
      </c>
      <c r="H225" s="3">
        <f>DAY(EOMONTH(Plant_BD[[#This Row],[Month Year]],0))</f>
        <v>31</v>
      </c>
      <c r="I225" s="214">
        <f>_xlfn.XLOOKUP(Plant_BD[[#This Row],[Date]],'Raw Data'!$G:$G,'Raw Data'!$I:$I)</f>
        <v>0</v>
      </c>
      <c r="J225" s="214">
        <f>_xlfn.XLOOKUP(Plant_BD[[#This Row],[Date]],'Raw Data'!$G:$G,'Raw Data'!$J:$J)</f>
        <v>0</v>
      </c>
      <c r="K225" s="215">
        <f>IFERROR((Plant_BD[[#This Row],[Sunset Time (POA&lt;20 W/m2)]]-Plant_BD[[#This Row],[Sunrise Time (POA&gt;20 W/m2)]])*24,"")</f>
        <v>0</v>
      </c>
      <c r="L225" s="215"/>
      <c r="M225" s="215"/>
      <c r="N225" s="215"/>
      <c r="O225" s="215"/>
      <c r="P225" s="215"/>
      <c r="Q225" s="215"/>
      <c r="R225" s="215"/>
      <c r="S225" s="215"/>
      <c r="T225" s="216"/>
      <c r="U225" s="16">
        <f>IFERROR(_xlfn.XLOOKUP(Plant_BD[[#This Row],[Affected Equipment]],'Basic Data'!$A:$A,'Basic Data'!$B:$B),"")</f>
        <v>0</v>
      </c>
      <c r="V225" s="226">
        <f>IFERROR(_xlfn.XLOOKUP(Plant_BD[[#This Row],[Affected Equipment]],'Basic Data'!$A:$A,'Basic Data'!$C:$C),"")</f>
        <v>0</v>
      </c>
      <c r="W225" s="218"/>
      <c r="X225" s="218"/>
      <c r="Y225" s="218"/>
      <c r="Z225" s="219"/>
      <c r="AA225" s="225"/>
      <c r="AB225" s="220"/>
      <c r="AC225" s="220"/>
      <c r="AD225" s="225"/>
      <c r="AE225" s="221">
        <f>IF(Plant_BD[[#This Row],[Acknowledgement Time ]]="NA","",(Plant_BD[[#This Row],[Acknowledgement Time ]]-Plant_BD[[#This Row],[Fault Time]])*24)</f>
        <v>0</v>
      </c>
      <c r="AF225" s="221">
        <f>IF(Plant_BD[[#This Row],[Work Start time on Fault]]="NA","",(Plant_BD[[#This Row],[Work Start time on Fault]]-Plant_BD[[#This Row],[Fault Time]])*24)</f>
        <v>0</v>
      </c>
      <c r="AG225" s="17">
        <f>(Plant_BD[[#This Row],[Work Completion time on fault]]-Plant_BD[[#This Row],[Fault Time]])*24</f>
        <v>0</v>
      </c>
      <c r="AH225" s="17">
        <f>IFERROR((Plant_BD[[#This Row],[Work Completion time on fault]]-Plant_BD[[#This Row],[Fault Time]])*24,"")</f>
        <v>0</v>
      </c>
      <c r="AI225" s="222"/>
      <c r="AJ225" s="6"/>
      <c r="AK225" s="223">
        <f>IFERROR(Plant_BD[[#This Row],[Breakdown Time]]*Plant_BD[[#This Row],[Plant Equivalent Weightage]],"")</f>
        <v>0</v>
      </c>
      <c r="AL225" s="6"/>
      <c r="AM225" s="221" t="e">
        <f>_xlfn.XLOOKUP($G225,'Modelling New'!$D:$D,'Modelling New'!$O:$O)*Plant_BD[[#This Row],[Lost PoA(kWh/m2)]]*Plant_BD[[#This Row],[DC Capacity Affected (kW)]]</f>
        <v>#N/A</v>
      </c>
      <c r="AN225" s="6"/>
      <c r="AO225" s="6"/>
      <c r="AP225" s="224"/>
    </row>
    <row r="226" spans="1:42" x14ac:dyDescent="0.3">
      <c r="A226" s="171"/>
      <c r="B226" s="200"/>
      <c r="C226" s="249">
        <f>YEAR(Plant_BD[[#This Row],[Date]])+IF(MONTH(Plant_BD[[#This Row],[Date]])&gt;=4,1,0)</f>
        <v>1900</v>
      </c>
      <c r="D226" s="250">
        <f>YEAR(Plant_BD[[#This Row],[Date]])</f>
        <v>1900</v>
      </c>
      <c r="E226" s="77"/>
      <c r="F226" s="77"/>
      <c r="G226" s="213">
        <f>Plant_BD[[#This Row],[Date]]-DAY(Plant_BD[[#This Row],[Date]])+1</f>
        <v>1</v>
      </c>
      <c r="H226" s="3">
        <f>DAY(EOMONTH(Plant_BD[[#This Row],[Month Year]],0))</f>
        <v>31</v>
      </c>
      <c r="I226" s="214">
        <f>_xlfn.XLOOKUP(Plant_BD[[#This Row],[Date]],'Raw Data'!$G:$G,'Raw Data'!$I:$I)</f>
        <v>0</v>
      </c>
      <c r="J226" s="214">
        <f>_xlfn.XLOOKUP(Plant_BD[[#This Row],[Date]],'Raw Data'!$G:$G,'Raw Data'!$J:$J)</f>
        <v>0</v>
      </c>
      <c r="K226" s="215">
        <f>IFERROR((Plant_BD[[#This Row],[Sunset Time (POA&lt;20 W/m2)]]-Plant_BD[[#This Row],[Sunrise Time (POA&gt;20 W/m2)]])*24,"")</f>
        <v>0</v>
      </c>
      <c r="L226" s="215"/>
      <c r="M226" s="215"/>
      <c r="N226" s="215"/>
      <c r="O226" s="215"/>
      <c r="P226" s="215"/>
      <c r="Q226" s="215"/>
      <c r="R226" s="215"/>
      <c r="S226" s="215"/>
      <c r="T226" s="216"/>
      <c r="U226" s="16">
        <f>IFERROR(_xlfn.XLOOKUP(Plant_BD[[#This Row],[Affected Equipment]],'Basic Data'!$A:$A,'Basic Data'!$B:$B),"")</f>
        <v>0</v>
      </c>
      <c r="V226" s="226">
        <f>IFERROR(_xlfn.XLOOKUP(Plant_BD[[#This Row],[Affected Equipment]],'Basic Data'!$A:$A,'Basic Data'!$C:$C),"")</f>
        <v>0</v>
      </c>
      <c r="W226" s="218"/>
      <c r="X226" s="218"/>
      <c r="Y226" s="218"/>
      <c r="Z226" s="219"/>
      <c r="AA226" s="225"/>
      <c r="AB226" s="220"/>
      <c r="AC226" s="220"/>
      <c r="AD226" s="225"/>
      <c r="AE226" s="221">
        <f>IF(Plant_BD[[#This Row],[Acknowledgement Time ]]="NA","",(Plant_BD[[#This Row],[Acknowledgement Time ]]-Plant_BD[[#This Row],[Fault Time]])*24)</f>
        <v>0</v>
      </c>
      <c r="AF226" s="221">
        <f>IF(Plant_BD[[#This Row],[Work Start time on Fault]]="NA","",(Plant_BD[[#This Row],[Work Start time on Fault]]-Plant_BD[[#This Row],[Fault Time]])*24)</f>
        <v>0</v>
      </c>
      <c r="AG226" s="17">
        <f>(Plant_BD[[#This Row],[Work Completion time on fault]]-Plant_BD[[#This Row],[Fault Time]])*24</f>
        <v>0</v>
      </c>
      <c r="AH226" s="17">
        <f>IFERROR((Plant_BD[[#This Row],[Work Completion time on fault]]-Plant_BD[[#This Row],[Fault Time]])*24,"")</f>
        <v>0</v>
      </c>
      <c r="AI226" s="222"/>
      <c r="AJ226" s="6"/>
      <c r="AK226" s="223">
        <f>IFERROR(Plant_BD[[#This Row],[Breakdown Time]]*Plant_BD[[#This Row],[Plant Equivalent Weightage]],"")</f>
        <v>0</v>
      </c>
      <c r="AL226" s="6"/>
      <c r="AM226" s="221" t="e">
        <f>_xlfn.XLOOKUP($G226,'Modelling New'!$D:$D,'Modelling New'!$O:$O)*Plant_BD[[#This Row],[Lost PoA(kWh/m2)]]*Plant_BD[[#This Row],[DC Capacity Affected (kW)]]</f>
        <v>#N/A</v>
      </c>
      <c r="AN226" s="6"/>
      <c r="AO226" s="6"/>
      <c r="AP226" s="224"/>
    </row>
    <row r="227" spans="1:42" x14ac:dyDescent="0.3">
      <c r="A227" s="171"/>
      <c r="B227" s="200"/>
      <c r="C227" s="249">
        <f>YEAR(Plant_BD[[#This Row],[Date]])+IF(MONTH(Plant_BD[[#This Row],[Date]])&gt;=4,1,0)</f>
        <v>1900</v>
      </c>
      <c r="D227" s="250">
        <f>YEAR(Plant_BD[[#This Row],[Date]])</f>
        <v>1900</v>
      </c>
      <c r="E227" s="77"/>
      <c r="F227" s="77"/>
      <c r="G227" s="213">
        <f>Plant_BD[[#This Row],[Date]]-DAY(Plant_BD[[#This Row],[Date]])+1</f>
        <v>1</v>
      </c>
      <c r="H227" s="3">
        <f>DAY(EOMONTH(Plant_BD[[#This Row],[Month Year]],0))</f>
        <v>31</v>
      </c>
      <c r="I227" s="214">
        <f>_xlfn.XLOOKUP(Plant_BD[[#This Row],[Date]],'Raw Data'!$G:$G,'Raw Data'!$I:$I)</f>
        <v>0</v>
      </c>
      <c r="J227" s="214">
        <f>_xlfn.XLOOKUP(Plant_BD[[#This Row],[Date]],'Raw Data'!$G:$G,'Raw Data'!$J:$J)</f>
        <v>0</v>
      </c>
      <c r="K227" s="215">
        <f>IFERROR((Plant_BD[[#This Row],[Sunset Time (POA&lt;20 W/m2)]]-Plant_BD[[#This Row],[Sunrise Time (POA&gt;20 W/m2)]])*24,"")</f>
        <v>0</v>
      </c>
      <c r="L227" s="215"/>
      <c r="M227" s="215"/>
      <c r="N227" s="215"/>
      <c r="O227" s="215"/>
      <c r="P227" s="215"/>
      <c r="Q227" s="215"/>
      <c r="R227" s="215"/>
      <c r="S227" s="215"/>
      <c r="T227" s="216"/>
      <c r="U227" s="16">
        <f>IFERROR(_xlfn.XLOOKUP(Plant_BD[[#This Row],[Affected Equipment]],'Basic Data'!$A:$A,'Basic Data'!$B:$B),"")</f>
        <v>0</v>
      </c>
      <c r="V227" s="226">
        <f>IFERROR(_xlfn.XLOOKUP(Plant_BD[[#This Row],[Affected Equipment]],'Basic Data'!$A:$A,'Basic Data'!$C:$C),"")</f>
        <v>0</v>
      </c>
      <c r="W227" s="218"/>
      <c r="X227" s="218"/>
      <c r="Y227" s="218"/>
      <c r="Z227" s="219"/>
      <c r="AA227" s="225"/>
      <c r="AB227" s="220"/>
      <c r="AC227" s="220"/>
      <c r="AD227" s="225"/>
      <c r="AE227" s="221">
        <f>IF(Plant_BD[[#This Row],[Acknowledgement Time ]]="NA","",(Plant_BD[[#This Row],[Acknowledgement Time ]]-Plant_BD[[#This Row],[Fault Time]])*24)</f>
        <v>0</v>
      </c>
      <c r="AF227" s="221">
        <f>IF(Plant_BD[[#This Row],[Work Start time on Fault]]="NA","",(Plant_BD[[#This Row],[Work Start time on Fault]]-Plant_BD[[#This Row],[Fault Time]])*24)</f>
        <v>0</v>
      </c>
      <c r="AG227" s="17">
        <f>(Plant_BD[[#This Row],[Work Completion time on fault]]-Plant_BD[[#This Row],[Fault Time]])*24</f>
        <v>0</v>
      </c>
      <c r="AH227" s="17">
        <f>IFERROR((Plant_BD[[#This Row],[Work Completion time on fault]]-Plant_BD[[#This Row],[Fault Time]])*24,"")</f>
        <v>0</v>
      </c>
      <c r="AI227" s="222"/>
      <c r="AJ227" s="6"/>
      <c r="AK227" s="223">
        <f>IFERROR(Plant_BD[[#This Row],[Breakdown Time]]*Plant_BD[[#This Row],[Plant Equivalent Weightage]],"")</f>
        <v>0</v>
      </c>
      <c r="AL227" s="6"/>
      <c r="AM227" s="221" t="e">
        <f>_xlfn.XLOOKUP($G227,'Modelling New'!$D:$D,'Modelling New'!$O:$O)*Plant_BD[[#This Row],[Lost PoA(kWh/m2)]]*Plant_BD[[#This Row],[DC Capacity Affected (kW)]]</f>
        <v>#N/A</v>
      </c>
      <c r="AN227" s="6"/>
      <c r="AO227" s="6"/>
      <c r="AP227" s="224"/>
    </row>
    <row r="228" spans="1:42" x14ac:dyDescent="0.3">
      <c r="A228" s="171"/>
      <c r="B228" s="200"/>
      <c r="C228" s="249">
        <f>YEAR(Plant_BD[[#This Row],[Date]])+IF(MONTH(Plant_BD[[#This Row],[Date]])&gt;=4,1,0)</f>
        <v>1900</v>
      </c>
      <c r="D228" s="250">
        <f>YEAR(Plant_BD[[#This Row],[Date]])</f>
        <v>1900</v>
      </c>
      <c r="E228" s="77"/>
      <c r="F228" s="77"/>
      <c r="G228" s="213">
        <f>Plant_BD[[#This Row],[Date]]-DAY(Plant_BD[[#This Row],[Date]])+1</f>
        <v>1</v>
      </c>
      <c r="H228" s="3">
        <f>DAY(EOMONTH(Plant_BD[[#This Row],[Month Year]],0))</f>
        <v>31</v>
      </c>
      <c r="I228" s="214">
        <f>_xlfn.XLOOKUP(Plant_BD[[#This Row],[Date]],'Raw Data'!$G:$G,'Raw Data'!$I:$I)</f>
        <v>0</v>
      </c>
      <c r="J228" s="214">
        <f>_xlfn.XLOOKUP(Plant_BD[[#This Row],[Date]],'Raw Data'!$G:$G,'Raw Data'!$J:$J)</f>
        <v>0</v>
      </c>
      <c r="K228" s="215">
        <f>IFERROR((Plant_BD[[#This Row],[Sunset Time (POA&lt;20 W/m2)]]-Plant_BD[[#This Row],[Sunrise Time (POA&gt;20 W/m2)]])*24,"")</f>
        <v>0</v>
      </c>
      <c r="L228" s="215"/>
      <c r="M228" s="215"/>
      <c r="N228" s="215"/>
      <c r="O228" s="215"/>
      <c r="P228" s="215"/>
      <c r="Q228" s="215"/>
      <c r="R228" s="215"/>
      <c r="S228" s="215"/>
      <c r="T228" s="216"/>
      <c r="U228" s="16">
        <f>IFERROR(_xlfn.XLOOKUP(Plant_BD[[#This Row],[Affected Equipment]],'Basic Data'!$A:$A,'Basic Data'!$B:$B),"")</f>
        <v>0</v>
      </c>
      <c r="V228" s="226">
        <f>IFERROR(_xlfn.XLOOKUP(Plant_BD[[#This Row],[Affected Equipment]],'Basic Data'!$A:$A,'Basic Data'!$C:$C),"")</f>
        <v>0</v>
      </c>
      <c r="W228" s="218"/>
      <c r="X228" s="218"/>
      <c r="Y228" s="218"/>
      <c r="Z228" s="219"/>
      <c r="AA228" s="225"/>
      <c r="AB228" s="220"/>
      <c r="AC228" s="220"/>
      <c r="AD228" s="225"/>
      <c r="AE228" s="221">
        <f>IF(Plant_BD[[#This Row],[Acknowledgement Time ]]="NA","",(Plant_BD[[#This Row],[Acknowledgement Time ]]-Plant_BD[[#This Row],[Fault Time]])*24)</f>
        <v>0</v>
      </c>
      <c r="AF228" s="221">
        <f>IF(Plant_BD[[#This Row],[Work Start time on Fault]]="NA","",(Plant_BD[[#This Row],[Work Start time on Fault]]-Plant_BD[[#This Row],[Fault Time]])*24)</f>
        <v>0</v>
      </c>
      <c r="AG228" s="17">
        <f>(Plant_BD[[#This Row],[Work Completion time on fault]]-Plant_BD[[#This Row],[Fault Time]])*24</f>
        <v>0</v>
      </c>
      <c r="AH228" s="17">
        <f>IFERROR((Plant_BD[[#This Row],[Work Completion time on fault]]-Plant_BD[[#This Row],[Fault Time]])*24,"")</f>
        <v>0</v>
      </c>
      <c r="AI228" s="222"/>
      <c r="AJ228" s="6"/>
      <c r="AK228" s="223">
        <f>IFERROR(Plant_BD[[#This Row],[Breakdown Time]]*Plant_BD[[#This Row],[Plant Equivalent Weightage]],"")</f>
        <v>0</v>
      </c>
      <c r="AL228" s="6"/>
      <c r="AM228" s="221" t="e">
        <f>_xlfn.XLOOKUP($G228,'Modelling New'!$D:$D,'Modelling New'!$O:$O)*Plant_BD[[#This Row],[Lost PoA(kWh/m2)]]*Plant_BD[[#This Row],[DC Capacity Affected (kW)]]</f>
        <v>#N/A</v>
      </c>
      <c r="AN228" s="6"/>
      <c r="AO228" s="6"/>
      <c r="AP228" s="224"/>
    </row>
    <row r="229" spans="1:42" x14ac:dyDescent="0.3">
      <c r="A229" s="171"/>
      <c r="B229" s="200"/>
      <c r="C229" s="249">
        <f>YEAR(Plant_BD[[#This Row],[Date]])+IF(MONTH(Plant_BD[[#This Row],[Date]])&gt;=4,1,0)</f>
        <v>1900</v>
      </c>
      <c r="D229" s="250">
        <f>YEAR(Plant_BD[[#This Row],[Date]])</f>
        <v>1900</v>
      </c>
      <c r="E229" s="77"/>
      <c r="F229" s="77"/>
      <c r="G229" s="213">
        <f>Plant_BD[[#This Row],[Date]]-DAY(Plant_BD[[#This Row],[Date]])+1</f>
        <v>1</v>
      </c>
      <c r="H229" s="3">
        <f>DAY(EOMONTH(Plant_BD[[#This Row],[Month Year]],0))</f>
        <v>31</v>
      </c>
      <c r="I229" s="214">
        <f>_xlfn.XLOOKUP(Plant_BD[[#This Row],[Date]],'Raw Data'!$G:$G,'Raw Data'!$I:$I)</f>
        <v>0</v>
      </c>
      <c r="J229" s="214">
        <f>_xlfn.XLOOKUP(Plant_BD[[#This Row],[Date]],'Raw Data'!$G:$G,'Raw Data'!$J:$J)</f>
        <v>0</v>
      </c>
      <c r="K229" s="215">
        <f>IFERROR((Plant_BD[[#This Row],[Sunset Time (POA&lt;20 W/m2)]]-Plant_BD[[#This Row],[Sunrise Time (POA&gt;20 W/m2)]])*24,"")</f>
        <v>0</v>
      </c>
      <c r="L229" s="215"/>
      <c r="M229" s="215"/>
      <c r="N229" s="215"/>
      <c r="O229" s="215"/>
      <c r="P229" s="215"/>
      <c r="Q229" s="215"/>
      <c r="R229" s="215"/>
      <c r="S229" s="215"/>
      <c r="T229" s="216"/>
      <c r="U229" s="16">
        <f>IFERROR(_xlfn.XLOOKUP(Plant_BD[[#This Row],[Affected Equipment]],'Basic Data'!$A:$A,'Basic Data'!$B:$B),"")</f>
        <v>0</v>
      </c>
      <c r="V229" s="226">
        <f>IFERROR(_xlfn.XLOOKUP(Plant_BD[[#This Row],[Affected Equipment]],'Basic Data'!$A:$A,'Basic Data'!$C:$C),"")</f>
        <v>0</v>
      </c>
      <c r="W229" s="218"/>
      <c r="X229" s="218"/>
      <c r="Y229" s="218"/>
      <c r="Z229" s="219"/>
      <c r="AA229" s="225"/>
      <c r="AB229" s="220"/>
      <c r="AC229" s="220"/>
      <c r="AD229" s="225"/>
      <c r="AE229" s="221">
        <f>IF(Plant_BD[[#This Row],[Acknowledgement Time ]]="NA","",(Plant_BD[[#This Row],[Acknowledgement Time ]]-Plant_BD[[#This Row],[Fault Time]])*24)</f>
        <v>0</v>
      </c>
      <c r="AF229" s="221">
        <f>IF(Plant_BD[[#This Row],[Work Start time on Fault]]="NA","",(Plant_BD[[#This Row],[Work Start time on Fault]]-Plant_BD[[#This Row],[Fault Time]])*24)</f>
        <v>0</v>
      </c>
      <c r="AG229" s="17">
        <f>(Plant_BD[[#This Row],[Work Completion time on fault]]-Plant_BD[[#This Row],[Fault Time]])*24</f>
        <v>0</v>
      </c>
      <c r="AH229" s="17">
        <f>IFERROR((Plant_BD[[#This Row],[Work Completion time on fault]]-Plant_BD[[#This Row],[Fault Time]])*24,"")</f>
        <v>0</v>
      </c>
      <c r="AI229" s="222"/>
      <c r="AJ229" s="6"/>
      <c r="AK229" s="223">
        <f>IFERROR(Plant_BD[[#This Row],[Breakdown Time]]*Plant_BD[[#This Row],[Plant Equivalent Weightage]],"")</f>
        <v>0</v>
      </c>
      <c r="AL229" s="6"/>
      <c r="AM229" s="221" t="e">
        <f>_xlfn.XLOOKUP($G229,'Modelling New'!$D:$D,'Modelling New'!$O:$O)*Plant_BD[[#This Row],[Lost PoA(kWh/m2)]]*Plant_BD[[#This Row],[DC Capacity Affected (kW)]]</f>
        <v>#N/A</v>
      </c>
      <c r="AN229" s="6"/>
      <c r="AO229" s="6"/>
      <c r="AP229" s="224"/>
    </row>
    <row r="230" spans="1:42" x14ac:dyDescent="0.3">
      <c r="A230" s="171"/>
      <c r="B230" s="200"/>
      <c r="C230" s="249">
        <f>YEAR(Plant_BD[[#This Row],[Date]])+IF(MONTH(Plant_BD[[#This Row],[Date]])&gt;=4,1,0)</f>
        <v>1900</v>
      </c>
      <c r="D230" s="250">
        <f>YEAR(Plant_BD[[#This Row],[Date]])</f>
        <v>1900</v>
      </c>
      <c r="E230" s="77"/>
      <c r="F230" s="77"/>
      <c r="G230" s="213">
        <f>Plant_BD[[#This Row],[Date]]-DAY(Plant_BD[[#This Row],[Date]])+1</f>
        <v>1</v>
      </c>
      <c r="H230" s="3">
        <f>DAY(EOMONTH(Plant_BD[[#This Row],[Month Year]],0))</f>
        <v>31</v>
      </c>
      <c r="I230" s="214">
        <f>_xlfn.XLOOKUP(Plant_BD[[#This Row],[Date]],'Raw Data'!$G:$G,'Raw Data'!$I:$I)</f>
        <v>0</v>
      </c>
      <c r="J230" s="214">
        <f>_xlfn.XLOOKUP(Plant_BD[[#This Row],[Date]],'Raw Data'!$G:$G,'Raw Data'!$J:$J)</f>
        <v>0</v>
      </c>
      <c r="K230" s="215">
        <f>IFERROR((Plant_BD[[#This Row],[Sunset Time (POA&lt;20 W/m2)]]-Plant_BD[[#This Row],[Sunrise Time (POA&gt;20 W/m2)]])*24,"")</f>
        <v>0</v>
      </c>
      <c r="L230" s="215"/>
      <c r="M230" s="215"/>
      <c r="N230" s="215"/>
      <c r="O230" s="215"/>
      <c r="P230" s="215"/>
      <c r="Q230" s="215"/>
      <c r="R230" s="215"/>
      <c r="S230" s="215"/>
      <c r="T230" s="216"/>
      <c r="U230" s="16">
        <f>IFERROR(_xlfn.XLOOKUP(Plant_BD[[#This Row],[Affected Equipment]],'Basic Data'!$A:$A,'Basic Data'!$B:$B),"")</f>
        <v>0</v>
      </c>
      <c r="V230" s="226">
        <f>IFERROR(_xlfn.XLOOKUP(Plant_BD[[#This Row],[Affected Equipment]],'Basic Data'!$A:$A,'Basic Data'!$C:$C),"")</f>
        <v>0</v>
      </c>
      <c r="W230" s="218"/>
      <c r="X230" s="218"/>
      <c r="Y230" s="218"/>
      <c r="Z230" s="219"/>
      <c r="AA230" s="225"/>
      <c r="AB230" s="220"/>
      <c r="AC230" s="220"/>
      <c r="AD230" s="225"/>
      <c r="AE230" s="221">
        <f>IF(Plant_BD[[#This Row],[Acknowledgement Time ]]="NA","",(Plant_BD[[#This Row],[Acknowledgement Time ]]-Plant_BD[[#This Row],[Fault Time]])*24)</f>
        <v>0</v>
      </c>
      <c r="AF230" s="221">
        <f>IF(Plant_BD[[#This Row],[Work Start time on Fault]]="NA","",(Plant_BD[[#This Row],[Work Start time on Fault]]-Plant_BD[[#This Row],[Fault Time]])*24)</f>
        <v>0</v>
      </c>
      <c r="AG230" s="17">
        <f>(Plant_BD[[#This Row],[Work Completion time on fault]]-Plant_BD[[#This Row],[Fault Time]])*24</f>
        <v>0</v>
      </c>
      <c r="AH230" s="17">
        <f>IFERROR((Plant_BD[[#This Row],[Work Completion time on fault]]-Plant_BD[[#This Row],[Fault Time]])*24,"")</f>
        <v>0</v>
      </c>
      <c r="AI230" s="222"/>
      <c r="AJ230" s="6"/>
      <c r="AK230" s="223">
        <f>IFERROR(Plant_BD[[#This Row],[Breakdown Time]]*Plant_BD[[#This Row],[Plant Equivalent Weightage]],"")</f>
        <v>0</v>
      </c>
      <c r="AL230" s="6"/>
      <c r="AM230" s="221" t="e">
        <f>_xlfn.XLOOKUP($G230,'Modelling New'!$D:$D,'Modelling New'!$O:$O)*Plant_BD[[#This Row],[Lost PoA(kWh/m2)]]*Plant_BD[[#This Row],[DC Capacity Affected (kW)]]</f>
        <v>#N/A</v>
      </c>
      <c r="AN230" s="6"/>
      <c r="AO230" s="6"/>
      <c r="AP230" s="224"/>
    </row>
    <row r="231" spans="1:42" x14ac:dyDescent="0.3">
      <c r="A231" s="171"/>
      <c r="B231" s="200"/>
      <c r="C231" s="249">
        <f>YEAR(Plant_BD[[#This Row],[Date]])+IF(MONTH(Plant_BD[[#This Row],[Date]])&gt;=4,1,0)</f>
        <v>1900</v>
      </c>
      <c r="D231" s="250">
        <f>YEAR(Plant_BD[[#This Row],[Date]])</f>
        <v>1900</v>
      </c>
      <c r="E231" s="77"/>
      <c r="F231" s="77"/>
      <c r="G231" s="213">
        <f>Plant_BD[[#This Row],[Date]]-DAY(Plant_BD[[#This Row],[Date]])+1</f>
        <v>1</v>
      </c>
      <c r="H231" s="3">
        <f>DAY(EOMONTH(Plant_BD[[#This Row],[Month Year]],0))</f>
        <v>31</v>
      </c>
      <c r="I231" s="214">
        <f>_xlfn.XLOOKUP(Plant_BD[[#This Row],[Date]],'Raw Data'!$G:$G,'Raw Data'!$I:$I)</f>
        <v>0</v>
      </c>
      <c r="J231" s="214">
        <f>_xlfn.XLOOKUP(Plant_BD[[#This Row],[Date]],'Raw Data'!$G:$G,'Raw Data'!$J:$J)</f>
        <v>0</v>
      </c>
      <c r="K231" s="215">
        <f>IFERROR((Plant_BD[[#This Row],[Sunset Time (POA&lt;20 W/m2)]]-Plant_BD[[#This Row],[Sunrise Time (POA&gt;20 W/m2)]])*24,"")</f>
        <v>0</v>
      </c>
      <c r="L231" s="215"/>
      <c r="M231" s="215"/>
      <c r="N231" s="215"/>
      <c r="O231" s="215"/>
      <c r="P231" s="215"/>
      <c r="Q231" s="215"/>
      <c r="R231" s="215"/>
      <c r="S231" s="215"/>
      <c r="T231" s="216"/>
      <c r="U231" s="16">
        <f>IFERROR(_xlfn.XLOOKUP(Plant_BD[[#This Row],[Affected Equipment]],'Basic Data'!$A:$A,'Basic Data'!$B:$B),"")</f>
        <v>0</v>
      </c>
      <c r="V231" s="226">
        <f>IFERROR(_xlfn.XLOOKUP(Plant_BD[[#This Row],[Affected Equipment]],'Basic Data'!$A:$A,'Basic Data'!$C:$C),"")</f>
        <v>0</v>
      </c>
      <c r="W231" s="218"/>
      <c r="X231" s="218"/>
      <c r="Y231" s="218"/>
      <c r="Z231" s="219"/>
      <c r="AA231" s="225"/>
      <c r="AB231" s="220"/>
      <c r="AC231" s="220"/>
      <c r="AD231" s="225"/>
      <c r="AE231" s="221">
        <f>IF(Plant_BD[[#This Row],[Acknowledgement Time ]]="NA","",(Plant_BD[[#This Row],[Acknowledgement Time ]]-Plant_BD[[#This Row],[Fault Time]])*24)</f>
        <v>0</v>
      </c>
      <c r="AF231" s="221">
        <f>IF(Plant_BD[[#This Row],[Work Start time on Fault]]="NA","",(Plant_BD[[#This Row],[Work Start time on Fault]]-Plant_BD[[#This Row],[Fault Time]])*24)</f>
        <v>0</v>
      </c>
      <c r="AG231" s="17">
        <f>(Plant_BD[[#This Row],[Work Completion time on fault]]-Plant_BD[[#This Row],[Fault Time]])*24</f>
        <v>0</v>
      </c>
      <c r="AH231" s="17">
        <f>IFERROR((Plant_BD[[#This Row],[Work Completion time on fault]]-Plant_BD[[#This Row],[Fault Time]])*24,"")</f>
        <v>0</v>
      </c>
      <c r="AI231" s="222"/>
      <c r="AJ231" s="6"/>
      <c r="AK231" s="223">
        <f>IFERROR(Plant_BD[[#This Row],[Breakdown Time]]*Plant_BD[[#This Row],[Plant Equivalent Weightage]],"")</f>
        <v>0</v>
      </c>
      <c r="AL231" s="6"/>
      <c r="AM231" s="221" t="e">
        <f>_xlfn.XLOOKUP($G231,'Modelling New'!$D:$D,'Modelling New'!$O:$O)*Plant_BD[[#This Row],[Lost PoA(kWh/m2)]]*Plant_BD[[#This Row],[DC Capacity Affected (kW)]]</f>
        <v>#N/A</v>
      </c>
      <c r="AN231" s="6"/>
      <c r="AO231" s="6"/>
      <c r="AP231" s="224"/>
    </row>
    <row r="232" spans="1:42" x14ac:dyDescent="0.3">
      <c r="A232" s="171"/>
      <c r="B232" s="200"/>
      <c r="C232" s="249">
        <f>YEAR(Plant_BD[[#This Row],[Date]])+IF(MONTH(Plant_BD[[#This Row],[Date]])&gt;=4,1,0)</f>
        <v>1900</v>
      </c>
      <c r="D232" s="250">
        <f>YEAR(Plant_BD[[#This Row],[Date]])</f>
        <v>1900</v>
      </c>
      <c r="E232" s="77"/>
      <c r="F232" s="77"/>
      <c r="G232" s="213">
        <f>Plant_BD[[#This Row],[Date]]-DAY(Plant_BD[[#This Row],[Date]])+1</f>
        <v>1</v>
      </c>
      <c r="H232" s="3">
        <f>DAY(EOMONTH(Plant_BD[[#This Row],[Month Year]],0))</f>
        <v>31</v>
      </c>
      <c r="I232" s="214">
        <f>_xlfn.XLOOKUP(Plant_BD[[#This Row],[Date]],'Raw Data'!$G:$G,'Raw Data'!$I:$I)</f>
        <v>0</v>
      </c>
      <c r="J232" s="214">
        <f>_xlfn.XLOOKUP(Plant_BD[[#This Row],[Date]],'Raw Data'!$G:$G,'Raw Data'!$J:$J)</f>
        <v>0</v>
      </c>
      <c r="K232" s="215">
        <f>IFERROR((Plant_BD[[#This Row],[Sunset Time (POA&lt;20 W/m2)]]-Plant_BD[[#This Row],[Sunrise Time (POA&gt;20 W/m2)]])*24,"")</f>
        <v>0</v>
      </c>
      <c r="L232" s="215"/>
      <c r="M232" s="215"/>
      <c r="N232" s="215"/>
      <c r="O232" s="215"/>
      <c r="P232" s="215"/>
      <c r="Q232" s="215"/>
      <c r="R232" s="215"/>
      <c r="S232" s="215"/>
      <c r="T232" s="216"/>
      <c r="U232" s="16">
        <f>IFERROR(_xlfn.XLOOKUP(Plant_BD[[#This Row],[Affected Equipment]],'Basic Data'!$A:$A,'Basic Data'!$B:$B),"")</f>
        <v>0</v>
      </c>
      <c r="V232" s="226">
        <f>IFERROR(_xlfn.XLOOKUP(Plant_BD[[#This Row],[Affected Equipment]],'Basic Data'!$A:$A,'Basic Data'!$C:$C),"")</f>
        <v>0</v>
      </c>
      <c r="W232" s="218"/>
      <c r="X232" s="218"/>
      <c r="Y232" s="218"/>
      <c r="Z232" s="219"/>
      <c r="AA232" s="225"/>
      <c r="AB232" s="220"/>
      <c r="AC232" s="220"/>
      <c r="AD232" s="225"/>
      <c r="AE232" s="221">
        <f>IF(Plant_BD[[#This Row],[Acknowledgement Time ]]="NA","",(Plant_BD[[#This Row],[Acknowledgement Time ]]-Plant_BD[[#This Row],[Fault Time]])*24)</f>
        <v>0</v>
      </c>
      <c r="AF232" s="221">
        <f>IF(Plant_BD[[#This Row],[Work Start time on Fault]]="NA","",(Plant_BD[[#This Row],[Work Start time on Fault]]-Plant_BD[[#This Row],[Fault Time]])*24)</f>
        <v>0</v>
      </c>
      <c r="AG232" s="17">
        <f>(Plant_BD[[#This Row],[Work Completion time on fault]]-Plant_BD[[#This Row],[Fault Time]])*24</f>
        <v>0</v>
      </c>
      <c r="AH232" s="17">
        <f>IFERROR((Plant_BD[[#This Row],[Work Completion time on fault]]-Plant_BD[[#This Row],[Fault Time]])*24,"")</f>
        <v>0</v>
      </c>
      <c r="AI232" s="222"/>
      <c r="AJ232" s="6"/>
      <c r="AK232" s="223">
        <f>IFERROR(Plant_BD[[#This Row],[Breakdown Time]]*Plant_BD[[#This Row],[Plant Equivalent Weightage]],"")</f>
        <v>0</v>
      </c>
      <c r="AL232" s="6"/>
      <c r="AM232" s="221" t="e">
        <f>_xlfn.XLOOKUP($G232,'Modelling New'!$D:$D,'Modelling New'!$O:$O)*Plant_BD[[#This Row],[Lost PoA(kWh/m2)]]*Plant_BD[[#This Row],[DC Capacity Affected (kW)]]</f>
        <v>#N/A</v>
      </c>
      <c r="AN232" s="6"/>
      <c r="AO232" s="6"/>
      <c r="AP232" s="224"/>
    </row>
    <row r="233" spans="1:42" x14ac:dyDescent="0.3">
      <c r="A233" s="171"/>
      <c r="B233" s="200"/>
      <c r="C233" s="249">
        <f>YEAR(Plant_BD[[#This Row],[Date]])+IF(MONTH(Plant_BD[[#This Row],[Date]])&gt;=4,1,0)</f>
        <v>1900</v>
      </c>
      <c r="D233" s="250">
        <f>YEAR(Plant_BD[[#This Row],[Date]])</f>
        <v>1900</v>
      </c>
      <c r="E233" s="77"/>
      <c r="F233" s="77"/>
      <c r="G233" s="213">
        <f>Plant_BD[[#This Row],[Date]]-DAY(Plant_BD[[#This Row],[Date]])+1</f>
        <v>1</v>
      </c>
      <c r="H233" s="3">
        <f>DAY(EOMONTH(Plant_BD[[#This Row],[Month Year]],0))</f>
        <v>31</v>
      </c>
      <c r="I233" s="214">
        <f>_xlfn.XLOOKUP(Plant_BD[[#This Row],[Date]],'Raw Data'!$G:$G,'Raw Data'!$I:$I)</f>
        <v>0</v>
      </c>
      <c r="J233" s="214">
        <f>_xlfn.XLOOKUP(Plant_BD[[#This Row],[Date]],'Raw Data'!$G:$G,'Raw Data'!$J:$J)</f>
        <v>0</v>
      </c>
      <c r="K233" s="215">
        <f>IFERROR((Plant_BD[[#This Row],[Sunset Time (POA&lt;20 W/m2)]]-Plant_BD[[#This Row],[Sunrise Time (POA&gt;20 W/m2)]])*24,"")</f>
        <v>0</v>
      </c>
      <c r="L233" s="215"/>
      <c r="M233" s="215"/>
      <c r="N233" s="215"/>
      <c r="O233" s="215"/>
      <c r="P233" s="215"/>
      <c r="Q233" s="215"/>
      <c r="R233" s="215"/>
      <c r="S233" s="215"/>
      <c r="T233" s="216"/>
      <c r="U233" s="16">
        <f>IFERROR(_xlfn.XLOOKUP(Plant_BD[[#This Row],[Affected Equipment]],'Basic Data'!$A:$A,'Basic Data'!$B:$B),"")</f>
        <v>0</v>
      </c>
      <c r="V233" s="226">
        <f>IFERROR(_xlfn.XLOOKUP(Plant_BD[[#This Row],[Affected Equipment]],'Basic Data'!$A:$A,'Basic Data'!$C:$C),"")</f>
        <v>0</v>
      </c>
      <c r="W233" s="218"/>
      <c r="X233" s="218"/>
      <c r="Y233" s="218"/>
      <c r="Z233" s="219"/>
      <c r="AA233" s="225"/>
      <c r="AB233" s="220"/>
      <c r="AC233" s="220"/>
      <c r="AD233" s="225"/>
      <c r="AE233" s="221">
        <f>IF(Plant_BD[[#This Row],[Acknowledgement Time ]]="NA","",(Plant_BD[[#This Row],[Acknowledgement Time ]]-Plant_BD[[#This Row],[Fault Time]])*24)</f>
        <v>0</v>
      </c>
      <c r="AF233" s="221">
        <f>IF(Plant_BD[[#This Row],[Work Start time on Fault]]="NA","",(Plant_BD[[#This Row],[Work Start time on Fault]]-Plant_BD[[#This Row],[Fault Time]])*24)</f>
        <v>0</v>
      </c>
      <c r="AG233" s="17">
        <f>(Plant_BD[[#This Row],[Work Completion time on fault]]-Plant_BD[[#This Row],[Fault Time]])*24</f>
        <v>0</v>
      </c>
      <c r="AH233" s="17">
        <f>IFERROR((Plant_BD[[#This Row],[Work Completion time on fault]]-Plant_BD[[#This Row],[Fault Time]])*24,"")</f>
        <v>0</v>
      </c>
      <c r="AI233" s="222"/>
      <c r="AJ233" s="6"/>
      <c r="AK233" s="223">
        <f>IFERROR(Plant_BD[[#This Row],[Breakdown Time]]*Plant_BD[[#This Row],[Plant Equivalent Weightage]],"")</f>
        <v>0</v>
      </c>
      <c r="AL233" s="6"/>
      <c r="AM233" s="221" t="e">
        <f>_xlfn.XLOOKUP($G233,'Modelling New'!$D:$D,'Modelling New'!$O:$O)*Plant_BD[[#This Row],[Lost PoA(kWh/m2)]]*Plant_BD[[#This Row],[DC Capacity Affected (kW)]]</f>
        <v>#N/A</v>
      </c>
      <c r="AN233" s="6"/>
      <c r="AO233" s="6"/>
      <c r="AP233" s="224"/>
    </row>
    <row r="234" spans="1:42" x14ac:dyDescent="0.3">
      <c r="A234" s="171"/>
      <c r="B234" s="200"/>
      <c r="C234" s="249">
        <f>YEAR(Plant_BD[[#This Row],[Date]])+IF(MONTH(Plant_BD[[#This Row],[Date]])&gt;=4,1,0)</f>
        <v>1900</v>
      </c>
      <c r="D234" s="250">
        <f>YEAR(Plant_BD[[#This Row],[Date]])</f>
        <v>1900</v>
      </c>
      <c r="E234" s="77"/>
      <c r="F234" s="77"/>
      <c r="G234" s="213">
        <f>Plant_BD[[#This Row],[Date]]-DAY(Plant_BD[[#This Row],[Date]])+1</f>
        <v>1</v>
      </c>
      <c r="H234" s="3">
        <f>DAY(EOMONTH(Plant_BD[[#This Row],[Month Year]],0))</f>
        <v>31</v>
      </c>
      <c r="I234" s="214">
        <f>_xlfn.XLOOKUP(Plant_BD[[#This Row],[Date]],'Raw Data'!$G:$G,'Raw Data'!$I:$I)</f>
        <v>0</v>
      </c>
      <c r="J234" s="214">
        <f>_xlfn.XLOOKUP(Plant_BD[[#This Row],[Date]],'Raw Data'!$G:$G,'Raw Data'!$J:$J)</f>
        <v>0</v>
      </c>
      <c r="K234" s="215">
        <f>IFERROR((Plant_BD[[#This Row],[Sunset Time (POA&lt;20 W/m2)]]-Plant_BD[[#This Row],[Sunrise Time (POA&gt;20 W/m2)]])*24,"")</f>
        <v>0</v>
      </c>
      <c r="L234" s="215"/>
      <c r="M234" s="215"/>
      <c r="N234" s="215"/>
      <c r="O234" s="215"/>
      <c r="P234" s="215"/>
      <c r="Q234" s="215"/>
      <c r="R234" s="215"/>
      <c r="S234" s="215"/>
      <c r="T234" s="216"/>
      <c r="U234" s="16">
        <f>IFERROR(_xlfn.XLOOKUP(Plant_BD[[#This Row],[Affected Equipment]],'Basic Data'!$A:$A,'Basic Data'!$B:$B),"")</f>
        <v>0</v>
      </c>
      <c r="V234" s="226">
        <f>IFERROR(_xlfn.XLOOKUP(Plant_BD[[#This Row],[Affected Equipment]],'Basic Data'!$A:$A,'Basic Data'!$C:$C),"")</f>
        <v>0</v>
      </c>
      <c r="W234" s="218"/>
      <c r="X234" s="218"/>
      <c r="Y234" s="218"/>
      <c r="Z234" s="219"/>
      <c r="AA234" s="225"/>
      <c r="AB234" s="220"/>
      <c r="AC234" s="220"/>
      <c r="AD234" s="225"/>
      <c r="AE234" s="221">
        <f>IF(Plant_BD[[#This Row],[Acknowledgement Time ]]="NA","",(Plant_BD[[#This Row],[Acknowledgement Time ]]-Plant_BD[[#This Row],[Fault Time]])*24)</f>
        <v>0</v>
      </c>
      <c r="AF234" s="221">
        <f>IF(Plant_BD[[#This Row],[Work Start time on Fault]]="NA","",(Plant_BD[[#This Row],[Work Start time on Fault]]-Plant_BD[[#This Row],[Fault Time]])*24)</f>
        <v>0</v>
      </c>
      <c r="AG234" s="17">
        <f>(Plant_BD[[#This Row],[Work Completion time on fault]]-Plant_BD[[#This Row],[Fault Time]])*24</f>
        <v>0</v>
      </c>
      <c r="AH234" s="17">
        <f>IFERROR((Plant_BD[[#This Row],[Work Completion time on fault]]-Plant_BD[[#This Row],[Fault Time]])*24,"")</f>
        <v>0</v>
      </c>
      <c r="AI234" s="222"/>
      <c r="AJ234" s="6"/>
      <c r="AK234" s="223">
        <f>IFERROR(Plant_BD[[#This Row],[Breakdown Time]]*Plant_BD[[#This Row],[Plant Equivalent Weightage]],"")</f>
        <v>0</v>
      </c>
      <c r="AL234" s="6"/>
      <c r="AM234" s="221" t="e">
        <f>_xlfn.XLOOKUP($G234,'Modelling New'!$D:$D,'Modelling New'!$O:$O)*Plant_BD[[#This Row],[Lost PoA(kWh/m2)]]*Plant_BD[[#This Row],[DC Capacity Affected (kW)]]</f>
        <v>#N/A</v>
      </c>
      <c r="AN234" s="6"/>
      <c r="AO234" s="6"/>
      <c r="AP234" s="224"/>
    </row>
    <row r="235" spans="1:42" x14ac:dyDescent="0.3">
      <c r="A235" s="171"/>
      <c r="B235" s="200"/>
      <c r="C235" s="249">
        <f>YEAR(Plant_BD[[#This Row],[Date]])+IF(MONTH(Plant_BD[[#This Row],[Date]])&gt;=4,1,0)</f>
        <v>1900</v>
      </c>
      <c r="D235" s="250">
        <f>YEAR(Plant_BD[[#This Row],[Date]])</f>
        <v>1900</v>
      </c>
      <c r="E235" s="77"/>
      <c r="F235" s="77"/>
      <c r="G235" s="213">
        <f>Plant_BD[[#This Row],[Date]]-DAY(Plant_BD[[#This Row],[Date]])+1</f>
        <v>1</v>
      </c>
      <c r="H235" s="3">
        <f>DAY(EOMONTH(Plant_BD[[#This Row],[Month Year]],0))</f>
        <v>31</v>
      </c>
      <c r="I235" s="214">
        <f>_xlfn.XLOOKUP(Plant_BD[[#This Row],[Date]],'Raw Data'!$G:$G,'Raw Data'!$I:$I)</f>
        <v>0</v>
      </c>
      <c r="J235" s="214">
        <f>_xlfn.XLOOKUP(Plant_BD[[#This Row],[Date]],'Raw Data'!$G:$G,'Raw Data'!$J:$J)</f>
        <v>0</v>
      </c>
      <c r="K235" s="215">
        <f>IFERROR((Plant_BD[[#This Row],[Sunset Time (POA&lt;20 W/m2)]]-Plant_BD[[#This Row],[Sunrise Time (POA&gt;20 W/m2)]])*24,"")</f>
        <v>0</v>
      </c>
      <c r="L235" s="215"/>
      <c r="M235" s="215"/>
      <c r="N235" s="215"/>
      <c r="O235" s="215"/>
      <c r="P235" s="215"/>
      <c r="Q235" s="215"/>
      <c r="R235" s="215"/>
      <c r="S235" s="215"/>
      <c r="T235" s="216"/>
      <c r="U235" s="16">
        <f>IFERROR(_xlfn.XLOOKUP(Plant_BD[[#This Row],[Affected Equipment]],'Basic Data'!$A:$A,'Basic Data'!$B:$B),"")</f>
        <v>0</v>
      </c>
      <c r="V235" s="226">
        <f>IFERROR(_xlfn.XLOOKUP(Plant_BD[[#This Row],[Affected Equipment]],'Basic Data'!$A:$A,'Basic Data'!$C:$C),"")</f>
        <v>0</v>
      </c>
      <c r="W235" s="218"/>
      <c r="X235" s="218"/>
      <c r="Y235" s="218"/>
      <c r="Z235" s="219"/>
      <c r="AA235" s="225"/>
      <c r="AB235" s="220"/>
      <c r="AC235" s="220"/>
      <c r="AD235" s="225"/>
      <c r="AE235" s="221">
        <f>IF(Plant_BD[[#This Row],[Acknowledgement Time ]]="NA","",(Plant_BD[[#This Row],[Acknowledgement Time ]]-Plant_BD[[#This Row],[Fault Time]])*24)</f>
        <v>0</v>
      </c>
      <c r="AF235" s="221">
        <f>IF(Plant_BD[[#This Row],[Work Start time on Fault]]="NA","",(Plant_BD[[#This Row],[Work Start time on Fault]]-Plant_BD[[#This Row],[Fault Time]])*24)</f>
        <v>0</v>
      </c>
      <c r="AG235" s="17">
        <f>(Plant_BD[[#This Row],[Work Completion time on fault]]-Plant_BD[[#This Row],[Fault Time]])*24</f>
        <v>0</v>
      </c>
      <c r="AH235" s="17">
        <f>IFERROR((Plant_BD[[#This Row],[Work Completion time on fault]]-Plant_BD[[#This Row],[Fault Time]])*24,"")</f>
        <v>0</v>
      </c>
      <c r="AI235" s="222"/>
      <c r="AJ235" s="6"/>
      <c r="AK235" s="223">
        <f>IFERROR(Plant_BD[[#This Row],[Breakdown Time]]*Plant_BD[[#This Row],[Plant Equivalent Weightage]],"")</f>
        <v>0</v>
      </c>
      <c r="AL235" s="6"/>
      <c r="AM235" s="221" t="e">
        <f>_xlfn.XLOOKUP($G235,'Modelling New'!$D:$D,'Modelling New'!$O:$O)*Plant_BD[[#This Row],[Lost PoA(kWh/m2)]]*Plant_BD[[#This Row],[DC Capacity Affected (kW)]]</f>
        <v>#N/A</v>
      </c>
      <c r="AN235" s="6"/>
      <c r="AO235" s="6"/>
      <c r="AP235" s="224"/>
    </row>
    <row r="236" spans="1:42" x14ac:dyDescent="0.3">
      <c r="A236" s="171"/>
      <c r="B236" s="200"/>
      <c r="C236" s="249">
        <f>YEAR(Plant_BD[[#This Row],[Date]])+IF(MONTH(Plant_BD[[#This Row],[Date]])&gt;=4,1,0)</f>
        <v>1900</v>
      </c>
      <c r="D236" s="250">
        <f>YEAR(Plant_BD[[#This Row],[Date]])</f>
        <v>1900</v>
      </c>
      <c r="E236" s="77"/>
      <c r="F236" s="77"/>
      <c r="G236" s="213">
        <f>Plant_BD[[#This Row],[Date]]-DAY(Plant_BD[[#This Row],[Date]])+1</f>
        <v>1</v>
      </c>
      <c r="H236" s="3">
        <f>DAY(EOMONTH(Plant_BD[[#This Row],[Month Year]],0))</f>
        <v>31</v>
      </c>
      <c r="I236" s="214">
        <f>_xlfn.XLOOKUP(Plant_BD[[#This Row],[Date]],'Raw Data'!$G:$G,'Raw Data'!$I:$I)</f>
        <v>0</v>
      </c>
      <c r="J236" s="214">
        <f>_xlfn.XLOOKUP(Plant_BD[[#This Row],[Date]],'Raw Data'!$G:$G,'Raw Data'!$J:$J)</f>
        <v>0</v>
      </c>
      <c r="K236" s="215">
        <f>IFERROR((Plant_BD[[#This Row],[Sunset Time (POA&lt;20 W/m2)]]-Plant_BD[[#This Row],[Sunrise Time (POA&gt;20 W/m2)]])*24,"")</f>
        <v>0</v>
      </c>
      <c r="L236" s="215"/>
      <c r="M236" s="215"/>
      <c r="N236" s="215"/>
      <c r="O236" s="215"/>
      <c r="P236" s="215"/>
      <c r="Q236" s="215"/>
      <c r="R236" s="215"/>
      <c r="S236" s="215"/>
      <c r="T236" s="216"/>
      <c r="U236" s="16">
        <f>IFERROR(_xlfn.XLOOKUP(Plant_BD[[#This Row],[Affected Equipment]],'Basic Data'!$A:$A,'Basic Data'!$B:$B),"")</f>
        <v>0</v>
      </c>
      <c r="V236" s="226">
        <f>IFERROR(_xlfn.XLOOKUP(Plant_BD[[#This Row],[Affected Equipment]],'Basic Data'!$A:$A,'Basic Data'!$C:$C),"")</f>
        <v>0</v>
      </c>
      <c r="W236" s="218"/>
      <c r="X236" s="218"/>
      <c r="Y236" s="218"/>
      <c r="Z236" s="219"/>
      <c r="AA236" s="225"/>
      <c r="AB236" s="220"/>
      <c r="AC236" s="220"/>
      <c r="AD236" s="225"/>
      <c r="AE236" s="221">
        <f>IF(Plant_BD[[#This Row],[Acknowledgement Time ]]="NA","",(Plant_BD[[#This Row],[Acknowledgement Time ]]-Plant_BD[[#This Row],[Fault Time]])*24)</f>
        <v>0</v>
      </c>
      <c r="AF236" s="221">
        <f>IF(Plant_BD[[#This Row],[Work Start time on Fault]]="NA","",(Plant_BD[[#This Row],[Work Start time on Fault]]-Plant_BD[[#This Row],[Fault Time]])*24)</f>
        <v>0</v>
      </c>
      <c r="AG236" s="17">
        <f>(Plant_BD[[#This Row],[Work Completion time on fault]]-Plant_BD[[#This Row],[Fault Time]])*24</f>
        <v>0</v>
      </c>
      <c r="AH236" s="17">
        <f>IFERROR((Plant_BD[[#This Row],[Work Completion time on fault]]-Plant_BD[[#This Row],[Fault Time]])*24,"")</f>
        <v>0</v>
      </c>
      <c r="AI236" s="222"/>
      <c r="AJ236" s="6"/>
      <c r="AK236" s="223">
        <f>IFERROR(Plant_BD[[#This Row],[Breakdown Time]]*Plant_BD[[#This Row],[Plant Equivalent Weightage]],"")</f>
        <v>0</v>
      </c>
      <c r="AL236" s="6"/>
      <c r="AM236" s="221" t="e">
        <f>_xlfn.XLOOKUP($G236,'Modelling New'!$D:$D,'Modelling New'!$O:$O)*Plant_BD[[#This Row],[Lost PoA(kWh/m2)]]*Plant_BD[[#This Row],[DC Capacity Affected (kW)]]</f>
        <v>#N/A</v>
      </c>
      <c r="AN236" s="6"/>
      <c r="AO236" s="6"/>
      <c r="AP236" s="224"/>
    </row>
    <row r="237" spans="1:42" x14ac:dyDescent="0.3">
      <c r="A237" s="171"/>
      <c r="B237" s="200"/>
      <c r="C237" s="249">
        <f>YEAR(Plant_BD[[#This Row],[Date]])+IF(MONTH(Plant_BD[[#This Row],[Date]])&gt;=4,1,0)</f>
        <v>1900</v>
      </c>
      <c r="D237" s="250">
        <f>YEAR(Plant_BD[[#This Row],[Date]])</f>
        <v>1900</v>
      </c>
      <c r="E237" s="77"/>
      <c r="F237" s="77"/>
      <c r="G237" s="213">
        <f>Plant_BD[[#This Row],[Date]]-DAY(Plant_BD[[#This Row],[Date]])+1</f>
        <v>1</v>
      </c>
      <c r="H237" s="3">
        <f>DAY(EOMONTH(Plant_BD[[#This Row],[Month Year]],0))</f>
        <v>31</v>
      </c>
      <c r="I237" s="214">
        <f>_xlfn.XLOOKUP(Plant_BD[[#This Row],[Date]],'Raw Data'!$G:$G,'Raw Data'!$I:$I)</f>
        <v>0</v>
      </c>
      <c r="J237" s="214">
        <f>_xlfn.XLOOKUP(Plant_BD[[#This Row],[Date]],'Raw Data'!$G:$G,'Raw Data'!$J:$J)</f>
        <v>0</v>
      </c>
      <c r="K237" s="215">
        <f>IFERROR((Plant_BD[[#This Row],[Sunset Time (POA&lt;20 W/m2)]]-Plant_BD[[#This Row],[Sunrise Time (POA&gt;20 W/m2)]])*24,"")</f>
        <v>0</v>
      </c>
      <c r="L237" s="215"/>
      <c r="M237" s="215"/>
      <c r="N237" s="215"/>
      <c r="O237" s="215"/>
      <c r="P237" s="215"/>
      <c r="Q237" s="215"/>
      <c r="R237" s="215"/>
      <c r="S237" s="215"/>
      <c r="T237" s="216"/>
      <c r="U237" s="16">
        <f>IFERROR(_xlfn.XLOOKUP(Plant_BD[[#This Row],[Affected Equipment]],'Basic Data'!$A:$A,'Basic Data'!$B:$B),"")</f>
        <v>0</v>
      </c>
      <c r="V237" s="226">
        <f>IFERROR(_xlfn.XLOOKUP(Plant_BD[[#This Row],[Affected Equipment]],'Basic Data'!$A:$A,'Basic Data'!$C:$C),"")</f>
        <v>0</v>
      </c>
      <c r="W237" s="218"/>
      <c r="X237" s="218"/>
      <c r="Y237" s="218"/>
      <c r="Z237" s="219"/>
      <c r="AA237" s="225"/>
      <c r="AB237" s="220"/>
      <c r="AC237" s="220"/>
      <c r="AD237" s="225"/>
      <c r="AE237" s="221">
        <f>IF(Plant_BD[[#This Row],[Acknowledgement Time ]]="NA","",(Plant_BD[[#This Row],[Acknowledgement Time ]]-Plant_BD[[#This Row],[Fault Time]])*24)</f>
        <v>0</v>
      </c>
      <c r="AF237" s="221">
        <f>IF(Plant_BD[[#This Row],[Work Start time on Fault]]="NA","",(Plant_BD[[#This Row],[Work Start time on Fault]]-Plant_BD[[#This Row],[Fault Time]])*24)</f>
        <v>0</v>
      </c>
      <c r="AG237" s="17">
        <f>(Plant_BD[[#This Row],[Work Completion time on fault]]-Plant_BD[[#This Row],[Fault Time]])*24</f>
        <v>0</v>
      </c>
      <c r="AH237" s="17">
        <f>IFERROR((Plant_BD[[#This Row],[Work Completion time on fault]]-Plant_BD[[#This Row],[Fault Time]])*24,"")</f>
        <v>0</v>
      </c>
      <c r="AI237" s="222"/>
      <c r="AJ237" s="6"/>
      <c r="AK237" s="223">
        <f>IFERROR(Plant_BD[[#This Row],[Breakdown Time]]*Plant_BD[[#This Row],[Plant Equivalent Weightage]],"")</f>
        <v>0</v>
      </c>
      <c r="AL237" s="6"/>
      <c r="AM237" s="221" t="e">
        <f>_xlfn.XLOOKUP($G237,'Modelling New'!$D:$D,'Modelling New'!$O:$O)*Plant_BD[[#This Row],[Lost PoA(kWh/m2)]]*Plant_BD[[#This Row],[DC Capacity Affected (kW)]]</f>
        <v>#N/A</v>
      </c>
      <c r="AN237" s="6"/>
      <c r="AO237" s="6"/>
      <c r="AP237" s="22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E499E-BBAC-42A3-B01F-C61E923ACD9B}">
  <dimension ref="A1:AE72"/>
  <sheetViews>
    <sheetView zoomScale="80" zoomScaleNormal="80" workbookViewId="0">
      <pane xSplit="2" ySplit="1" topLeftCell="X53" activePane="bottomRight" state="frozen"/>
      <selection activeCell="G149" sqref="G149"/>
      <selection pane="topRight" activeCell="G149" sqref="G149"/>
      <selection pane="bottomLeft" activeCell="G149" sqref="G149"/>
      <selection pane="bottomRight" activeCell="AG72" sqref="AG72"/>
    </sheetView>
  </sheetViews>
  <sheetFormatPr defaultColWidth="8.77734375" defaultRowHeight="14.4" x14ac:dyDescent="0.3"/>
  <cols>
    <col min="1" max="1" width="10.77734375" style="7" bestFit="1" customWidth="1"/>
    <col min="2" max="2" width="11.21875" style="7" bestFit="1" customWidth="1"/>
    <col min="3" max="3" width="10.77734375" style="7" customWidth="1"/>
    <col min="4" max="4" width="11.77734375" style="7" customWidth="1"/>
    <col min="5" max="5" width="14.44140625" style="7" customWidth="1"/>
    <col min="6" max="6" width="11.21875" style="7" customWidth="1"/>
    <col min="7" max="7" width="10.21875" style="7" customWidth="1"/>
    <col min="8" max="8" width="9.44140625" style="7" bestFit="1" customWidth="1"/>
    <col min="9" max="9" width="14.77734375" style="7" customWidth="1"/>
    <col min="10" max="10" width="18.44140625" style="7" customWidth="1"/>
    <col min="11" max="11" width="14.77734375" style="7" customWidth="1"/>
    <col min="12" max="12" width="11.5546875" style="7" customWidth="1"/>
    <col min="13" max="13" width="12.77734375" style="7" customWidth="1"/>
    <col min="14" max="14" width="28.5546875" style="208" bestFit="1" customWidth="1"/>
    <col min="15" max="15" width="30" style="7" bestFit="1" customWidth="1"/>
    <col min="16" max="16" width="17.5546875" style="7" bestFit="1" customWidth="1"/>
    <col min="17" max="17" width="25.44140625" style="7" bestFit="1" customWidth="1"/>
    <col min="18" max="18" width="50.21875" style="182" bestFit="1" customWidth="1"/>
    <col min="19" max="19" width="14.21875" style="7" bestFit="1" customWidth="1"/>
    <col min="20" max="20" width="26.21875" style="7" bestFit="1" customWidth="1"/>
    <col min="21" max="21" width="26.44140625" style="7" bestFit="1" customWidth="1"/>
    <col min="22" max="22" width="31.77734375" style="7" bestFit="1" customWidth="1"/>
    <col min="23" max="23" width="25.44140625" style="7" bestFit="1" customWidth="1"/>
    <col min="24" max="24" width="18" style="7" bestFit="1" customWidth="1"/>
    <col min="25" max="25" width="18.77734375" style="7" bestFit="1" customWidth="1"/>
    <col min="26" max="26" width="19.5546875" style="7" bestFit="1" customWidth="1"/>
    <col min="27" max="27" width="16" style="7" bestFit="1" customWidth="1"/>
    <col min="28" max="28" width="10.5546875" style="7" bestFit="1" customWidth="1"/>
    <col min="29" max="29" width="29.21875" style="7" bestFit="1" customWidth="1"/>
    <col min="30" max="30" width="21.44140625" style="7" bestFit="1" customWidth="1"/>
    <col min="31" max="31" width="32.44140625" style="7" bestFit="1" customWidth="1"/>
    <col min="32" max="16384" width="8.77734375" style="7"/>
  </cols>
  <sheetData>
    <row r="1" spans="1:31" s="202" customFormat="1" ht="32.1" customHeight="1" x14ac:dyDescent="0.3">
      <c r="A1" s="202" t="s">
        <v>57</v>
      </c>
      <c r="B1" s="202" t="s">
        <v>40</v>
      </c>
      <c r="C1" s="202" t="s">
        <v>1080</v>
      </c>
      <c r="D1" s="202" t="s">
        <v>1081</v>
      </c>
      <c r="E1" s="202" t="s">
        <v>1226</v>
      </c>
      <c r="F1" s="202" t="s">
        <v>56</v>
      </c>
      <c r="G1" s="202" t="s">
        <v>39</v>
      </c>
      <c r="H1" s="202" t="s">
        <v>54</v>
      </c>
      <c r="I1" s="202" t="s">
        <v>41</v>
      </c>
      <c r="J1" s="202" t="s">
        <v>42</v>
      </c>
      <c r="K1" s="202" t="s">
        <v>100</v>
      </c>
      <c r="L1" s="202" t="s">
        <v>1245</v>
      </c>
      <c r="M1" s="202" t="s">
        <v>1229</v>
      </c>
      <c r="N1" s="202" t="s">
        <v>71</v>
      </c>
      <c r="O1" s="202" t="s">
        <v>1230</v>
      </c>
      <c r="P1" s="202" t="s">
        <v>1231</v>
      </c>
      <c r="Q1" s="202" t="s">
        <v>58</v>
      </c>
      <c r="R1" s="202" t="s">
        <v>63</v>
      </c>
      <c r="S1" s="202" t="s">
        <v>59</v>
      </c>
      <c r="T1" s="202" t="s">
        <v>1232</v>
      </c>
      <c r="U1" s="202" t="s">
        <v>60</v>
      </c>
      <c r="V1" s="202" t="s">
        <v>1233</v>
      </c>
      <c r="W1" s="202" t="s">
        <v>1234</v>
      </c>
      <c r="X1" s="202" t="s">
        <v>61</v>
      </c>
      <c r="Y1" s="202" t="s">
        <v>62</v>
      </c>
      <c r="Z1" s="202" t="s">
        <v>99</v>
      </c>
      <c r="AA1" s="202" t="s">
        <v>64</v>
      </c>
      <c r="AB1" s="202" t="s">
        <v>65</v>
      </c>
      <c r="AC1" s="202" t="s">
        <v>101</v>
      </c>
      <c r="AD1" s="202" t="s">
        <v>1227</v>
      </c>
      <c r="AE1" s="202" t="s">
        <v>1235</v>
      </c>
    </row>
    <row r="2" spans="1:31" x14ac:dyDescent="0.3">
      <c r="A2" s="7">
        <v>1</v>
      </c>
      <c r="B2" s="203">
        <v>45749</v>
      </c>
      <c r="C2" s="101">
        <f>YEAR(Grid_BD[[#This Row],[Date]])+IF(MONTH(Grid_BD[[#This Row],[Date]])&gt;=4,1,0)</f>
        <v>2026</v>
      </c>
      <c r="D2" s="204">
        <f>YEAR(Grid_BD[[#This Row],[Date]])</f>
        <v>2025</v>
      </c>
      <c r="E2" s="204" t="s">
        <v>317</v>
      </c>
      <c r="F2" s="204" t="s">
        <v>317</v>
      </c>
      <c r="G2" s="205">
        <f>Grid_BD[[#This Row],[Date]]-DAY(Grid_BD[[#This Row],[Date]])+1</f>
        <v>45748</v>
      </c>
      <c r="H2" s="206">
        <f>DAY(EOMONTH(Grid_BD[[#This Row],[Month Year]],0))</f>
        <v>30</v>
      </c>
      <c r="I2" s="207">
        <f>_xlfn.XLOOKUP(Grid_BD[[#This Row],[Date]],'Raw Data'!$G:$G,'Raw Data'!$I:$I)</f>
        <v>0.26319444444444445</v>
      </c>
      <c r="J2" s="207">
        <f>_xlfn.XLOOKUP(Grid_BD[[#This Row],[Date]],'Raw Data'!$G:$G,'Raw Data'!$J:$J)</f>
        <v>0.7729166666666667</v>
      </c>
      <c r="K2" s="111">
        <f>IFERROR((Grid_BD[[#This Row],[Sunset Time (POA&lt;20 W/m2)]]-Grid_BD[[#This Row],[Sunrise Time (POA&gt;20 W/m2)]])*24,"")</f>
        <v>12.233333333333333</v>
      </c>
      <c r="L2" s="7" t="s">
        <v>292</v>
      </c>
      <c r="M2" s="67">
        <v>8020.9</v>
      </c>
      <c r="N2" s="208">
        <f>IFERROR(VLOOKUP(Grid_BD[[#This Row],[Affected Equipment ]],'Basic Data'!$A$2:$C$118,3,0),"")</f>
        <v>1</v>
      </c>
      <c r="O2" s="7" t="s">
        <v>293</v>
      </c>
      <c r="P2" s="7" t="s">
        <v>19</v>
      </c>
      <c r="R2" s="182" t="s">
        <v>294</v>
      </c>
      <c r="S2" s="207">
        <v>0.42152777777777778</v>
      </c>
      <c r="V2" s="207">
        <v>0.42708333333333331</v>
      </c>
      <c r="Y2" s="111">
        <f>(Grid_BD[[#This Row],[Work Completion time on fault]]-Grid_BD[[#This Row],[Fault Time]])*24</f>
        <v>0.13333333333333286</v>
      </c>
      <c r="Z2" s="67">
        <f>(Grid_BD[[#This Row],[Work Completion time on fault]]-Grid_BD[[#This Row],[Fault Time]])*24</f>
        <v>0.13333333333333286</v>
      </c>
      <c r="AB2" s="7" t="s">
        <v>73</v>
      </c>
      <c r="AC2" s="67">
        <f>IFERROR(Grid_BD[[#This Row],[Plant Equivalent Weightage]]*Grid_BD[[#This Row],[Resolution Time]],"")</f>
        <v>0.13333333333333286</v>
      </c>
      <c r="AD2" s="7">
        <v>0.12</v>
      </c>
      <c r="AE2" s="111">
        <f>Grid_BD[[#This Row],[Lost PoA(kWh/m2)]]*Grid_BD[[#This Row],[DC Capacity Affected (kW)]]*_xlfn.XLOOKUP(Grid_BD[[#This Row],[Month Year]],'Modelling New'!$D:$D,'Modelling New'!$O:$O)</f>
        <v>649.95734074233053</v>
      </c>
    </row>
    <row r="3" spans="1:31" x14ac:dyDescent="0.3">
      <c r="A3" s="7">
        <f>A2+1</f>
        <v>2</v>
      </c>
      <c r="B3" s="203">
        <v>45750</v>
      </c>
      <c r="C3" s="101">
        <f>YEAR(Grid_BD[[#This Row],[Date]])+IF(MONTH(Grid_BD[[#This Row],[Date]])&gt;=4,1,0)</f>
        <v>2026</v>
      </c>
      <c r="D3" s="7">
        <f>YEAR(Grid_BD[[#This Row],[Date]])</f>
        <v>2025</v>
      </c>
      <c r="E3" s="204" t="s">
        <v>317</v>
      </c>
      <c r="F3" s="204" t="s">
        <v>317</v>
      </c>
      <c r="G3" s="205">
        <f>Grid_BD[[#This Row],[Date]]-DAY(Grid_BD[[#This Row],[Date]])+1</f>
        <v>45748</v>
      </c>
      <c r="H3" s="7">
        <f>DAY(EOMONTH(Grid_BD[[#This Row],[Month Year]],0))</f>
        <v>30</v>
      </c>
      <c r="I3" s="207">
        <f>_xlfn.XLOOKUP(Grid_BD[[#This Row],[Date]],'Raw Data'!$G:$G,'Raw Data'!$I:$I)</f>
        <v>0.26319444444444445</v>
      </c>
      <c r="J3" s="207">
        <f>_xlfn.XLOOKUP(Grid_BD[[#This Row],[Date]],'Raw Data'!$G:$G,'Raw Data'!$J:$J)</f>
        <v>0.74027777777777781</v>
      </c>
      <c r="K3" s="111">
        <f>IFERROR((Grid_BD[[#This Row],[Sunset Time (POA&lt;20 W/m2)]]-Grid_BD[[#This Row],[Sunrise Time (POA&gt;20 W/m2)]])*24,"")</f>
        <v>11.450000000000001</v>
      </c>
      <c r="L3" s="7" t="s">
        <v>292</v>
      </c>
      <c r="M3" s="67">
        <v>8020.9</v>
      </c>
      <c r="N3" s="208">
        <f>IFERROR(VLOOKUP(Grid_BD[[#This Row],[Affected Equipment ]],'Basic Data'!$A$2:$C$118,3,0),"")</f>
        <v>1</v>
      </c>
      <c r="O3" s="7" t="s">
        <v>293</v>
      </c>
      <c r="P3" s="7" t="s">
        <v>19</v>
      </c>
      <c r="R3" s="182" t="s">
        <v>1172</v>
      </c>
      <c r="S3" s="207">
        <v>0.57152777777777775</v>
      </c>
      <c r="V3" s="207">
        <v>0.69652777777777775</v>
      </c>
      <c r="Y3" s="111">
        <f>(Grid_BD[[#This Row],[Work Completion time on fault]]-Grid_BD[[#This Row],[Fault Time]])*24</f>
        <v>3</v>
      </c>
      <c r="Z3" s="67">
        <f>(Grid_BD[[#This Row],[Work Completion time on fault]]-Grid_BD[[#This Row],[Fault Time]])*24</f>
        <v>3</v>
      </c>
      <c r="AB3" s="7" t="s">
        <v>73</v>
      </c>
      <c r="AC3" s="67">
        <f>IFERROR(Grid_BD[[#This Row],[Plant Equivalent Weightage]]*Grid_BD[[#This Row],[Resolution Time]],"")</f>
        <v>3</v>
      </c>
      <c r="AD3" s="7">
        <v>0.65500000000000003</v>
      </c>
      <c r="AE3" s="111">
        <f>Grid_BD[[#This Row],[Lost PoA(kWh/m2)]]*Grid_BD[[#This Row],[DC Capacity Affected (kW)]]*_xlfn.XLOOKUP(Grid_BD[[#This Row],[Month Year]],'Modelling New'!$D:$D,'Modelling New'!$O:$O)</f>
        <v>3547.6838182185547</v>
      </c>
    </row>
    <row r="4" spans="1:31" x14ac:dyDescent="0.3">
      <c r="A4" s="7">
        <f t="shared" ref="A4:A67" si="0">A3+1</f>
        <v>3</v>
      </c>
      <c r="B4" s="203">
        <v>45757</v>
      </c>
      <c r="C4" s="101">
        <f>YEAR(Grid_BD[[#This Row],[Date]])+IF(MONTH(Grid_BD[[#This Row],[Date]])&gt;=4,1,0)</f>
        <v>2026</v>
      </c>
      <c r="D4" s="7">
        <f>YEAR(Grid_BD[[#This Row],[Date]])</f>
        <v>2025</v>
      </c>
      <c r="E4" s="204" t="s">
        <v>317</v>
      </c>
      <c r="F4" s="204" t="s">
        <v>317</v>
      </c>
      <c r="G4" s="205">
        <f>Grid_BD[[#This Row],[Date]]-DAY(Grid_BD[[#This Row],[Date]])+1</f>
        <v>45748</v>
      </c>
      <c r="H4" s="7">
        <f>DAY(EOMONTH(Grid_BD[[#This Row],[Month Year]],0))</f>
        <v>30</v>
      </c>
      <c r="I4" s="207">
        <f>_xlfn.XLOOKUP(Grid_BD[[#This Row],[Date]],'Raw Data'!$G:$G,'Raw Data'!$I:$I)</f>
        <v>0.25833333333333336</v>
      </c>
      <c r="J4" s="207">
        <f>_xlfn.XLOOKUP(Grid_BD[[#This Row],[Date]],'Raw Data'!$G:$G,'Raw Data'!$J:$J)</f>
        <v>0.75</v>
      </c>
      <c r="K4" s="111">
        <f>IFERROR((Grid_BD[[#This Row],[Sunset Time (POA&lt;20 W/m2)]]-Grid_BD[[#This Row],[Sunrise Time (POA&gt;20 W/m2)]])*24,"")</f>
        <v>11.799999999999999</v>
      </c>
      <c r="L4" s="7" t="s">
        <v>292</v>
      </c>
      <c r="M4" s="67">
        <v>8020.9</v>
      </c>
      <c r="N4" s="208">
        <f>IFERROR(VLOOKUP(Grid_BD[[#This Row],[Affected Equipment ]],'Basic Data'!$A$2:$C$118,3,0),"")</f>
        <v>1</v>
      </c>
      <c r="O4" s="7" t="s">
        <v>293</v>
      </c>
      <c r="P4" s="7" t="s">
        <v>19</v>
      </c>
      <c r="R4" s="182" t="s">
        <v>1172</v>
      </c>
      <c r="S4" s="207">
        <v>0.62777777777777777</v>
      </c>
      <c r="V4" s="207">
        <v>0.77083333333333337</v>
      </c>
      <c r="Y4" s="111">
        <f>(Grid_BD[[#This Row],[Work Completion time on fault]]-Grid_BD[[#This Row],[Fault Time]])*24</f>
        <v>3.4333333333333345</v>
      </c>
      <c r="Z4" s="67">
        <f>(Grid_BD[[#This Row],[Work Completion time on fault]]-Grid_BD[[#This Row],[Fault Time]])*24</f>
        <v>3.4333333333333345</v>
      </c>
      <c r="AB4" s="7" t="s">
        <v>73</v>
      </c>
      <c r="AC4" s="67">
        <f>IFERROR(Grid_BD[[#This Row],[Plant Equivalent Weightage]]*Grid_BD[[#This Row],[Resolution Time]],"")</f>
        <v>3.4333333333333345</v>
      </c>
      <c r="AD4" s="7">
        <v>0.11</v>
      </c>
      <c r="AE4" s="111">
        <f>Grid_BD[[#This Row],[Lost PoA(kWh/m2)]]*Grid_BD[[#This Row],[DC Capacity Affected (kW)]]*_xlfn.XLOOKUP(Grid_BD[[#This Row],[Month Year]],'Modelling New'!$D:$D,'Modelling New'!$O:$O)</f>
        <v>595.79422901380303</v>
      </c>
    </row>
    <row r="5" spans="1:31" x14ac:dyDescent="0.3">
      <c r="A5" s="7">
        <f t="shared" si="0"/>
        <v>4</v>
      </c>
      <c r="B5" s="203">
        <v>45760</v>
      </c>
      <c r="C5" s="101">
        <f>YEAR(Grid_BD[[#This Row],[Date]])+IF(MONTH(Grid_BD[[#This Row],[Date]])&gt;=4,1,0)</f>
        <v>2026</v>
      </c>
      <c r="D5" s="7">
        <f>YEAR(Grid_BD[[#This Row],[Date]])</f>
        <v>2025</v>
      </c>
      <c r="E5" s="204" t="s">
        <v>317</v>
      </c>
      <c r="F5" s="204" t="s">
        <v>317</v>
      </c>
      <c r="G5" s="205">
        <f>Grid_BD[[#This Row],[Date]]-DAY(Grid_BD[[#This Row],[Date]])+1</f>
        <v>45748</v>
      </c>
      <c r="H5" s="7">
        <f>DAY(EOMONTH(Grid_BD[[#This Row],[Month Year]],0))</f>
        <v>30</v>
      </c>
      <c r="I5" s="207">
        <f>_xlfn.XLOOKUP(Grid_BD[[#This Row],[Date]],'Raw Data'!$G:$G,'Raw Data'!$I:$I)</f>
        <v>0.25138888888888888</v>
      </c>
      <c r="J5" s="207">
        <f>_xlfn.XLOOKUP(Grid_BD[[#This Row],[Date]],'Raw Data'!$G:$G,'Raw Data'!$J:$J)</f>
        <v>0.76875000000000004</v>
      </c>
      <c r="K5" s="111">
        <f>IFERROR((Grid_BD[[#This Row],[Sunset Time (POA&lt;20 W/m2)]]-Grid_BD[[#This Row],[Sunrise Time (POA&gt;20 W/m2)]])*24,"")</f>
        <v>12.416666666666668</v>
      </c>
      <c r="L5" s="7" t="s">
        <v>292</v>
      </c>
      <c r="M5" s="67">
        <v>8020.9</v>
      </c>
      <c r="N5" s="208">
        <f>IFERROR(VLOOKUP(Grid_BD[[#This Row],[Affected Equipment ]],'Basic Data'!$A$2:$C$118,3,0),"")</f>
        <v>1</v>
      </c>
      <c r="O5" s="7" t="s">
        <v>293</v>
      </c>
      <c r="P5" s="7" t="s">
        <v>19</v>
      </c>
      <c r="R5" s="182" t="s">
        <v>294</v>
      </c>
      <c r="S5" s="207">
        <v>0.55486111111111114</v>
      </c>
      <c r="V5" s="207">
        <v>0.56458333333333333</v>
      </c>
      <c r="Y5" s="111">
        <f>(Grid_BD[[#This Row],[Work Completion time on fault]]-Grid_BD[[#This Row],[Fault Time]])*24</f>
        <v>0.2333333333333325</v>
      </c>
      <c r="Z5" s="67">
        <f>(Grid_BD[[#This Row],[Work Completion time on fault]]-Grid_BD[[#This Row],[Fault Time]])*24</f>
        <v>0.2333333333333325</v>
      </c>
      <c r="AB5" s="7" t="s">
        <v>73</v>
      </c>
      <c r="AC5" s="67">
        <f>IFERROR(Grid_BD[[#This Row],[Plant Equivalent Weightage]]*Grid_BD[[#This Row],[Resolution Time]],"")</f>
        <v>0.2333333333333325</v>
      </c>
      <c r="AD5" s="7">
        <v>0.23</v>
      </c>
      <c r="AE5" s="111">
        <f>Grid_BD[[#This Row],[Lost PoA(kWh/m2)]]*Grid_BD[[#This Row],[DC Capacity Affected (kW)]]*_xlfn.XLOOKUP(Grid_BD[[#This Row],[Month Year]],'Modelling New'!$D:$D,'Modelling New'!$O:$O)</f>
        <v>1245.7515697561337</v>
      </c>
    </row>
    <row r="6" spans="1:31" x14ac:dyDescent="0.3">
      <c r="A6" s="7">
        <f t="shared" si="0"/>
        <v>5</v>
      </c>
      <c r="B6" s="203">
        <v>45762</v>
      </c>
      <c r="C6" s="101">
        <f>YEAR(Grid_BD[[#This Row],[Date]])+IF(MONTH(Grid_BD[[#This Row],[Date]])&gt;=4,1,0)</f>
        <v>2026</v>
      </c>
      <c r="D6" s="7">
        <f>YEAR(Grid_BD[[#This Row],[Date]])</f>
        <v>2025</v>
      </c>
      <c r="E6" s="204" t="s">
        <v>317</v>
      </c>
      <c r="F6" s="204" t="s">
        <v>317</v>
      </c>
      <c r="G6" s="205">
        <f>Grid_BD[[#This Row],[Date]]-DAY(Grid_BD[[#This Row],[Date]])+1</f>
        <v>45748</v>
      </c>
      <c r="H6" s="7">
        <f>DAY(EOMONTH(Grid_BD[[#This Row],[Month Year]],0))</f>
        <v>30</v>
      </c>
      <c r="I6" s="207">
        <f>_xlfn.XLOOKUP(Grid_BD[[#This Row],[Date]],'Raw Data'!$G:$G,'Raw Data'!$I:$I)</f>
        <v>0.25069444444444444</v>
      </c>
      <c r="J6" s="207">
        <f>_xlfn.XLOOKUP(Grid_BD[[#This Row],[Date]],'Raw Data'!$G:$G,'Raw Data'!$J:$J)</f>
        <v>0.77569444444444446</v>
      </c>
      <c r="K6" s="111">
        <f>IFERROR((Grid_BD[[#This Row],[Sunset Time (POA&lt;20 W/m2)]]-Grid_BD[[#This Row],[Sunrise Time (POA&gt;20 W/m2)]])*24,"")</f>
        <v>12.600000000000001</v>
      </c>
      <c r="L6" s="7" t="s">
        <v>292</v>
      </c>
      <c r="M6" s="67">
        <v>8020.9</v>
      </c>
      <c r="N6" s="208">
        <f>IFERROR(VLOOKUP(Grid_BD[[#This Row],[Affected Equipment ]],'Basic Data'!$A$2:$C$118,3,0),"")</f>
        <v>1</v>
      </c>
      <c r="O6" s="7" t="s">
        <v>293</v>
      </c>
      <c r="P6" s="7" t="s">
        <v>19</v>
      </c>
      <c r="R6" s="182" t="s">
        <v>294</v>
      </c>
      <c r="S6" s="207">
        <v>0.32569444444444445</v>
      </c>
      <c r="V6" s="207">
        <v>0.33194444444444443</v>
      </c>
      <c r="Y6" s="111">
        <f>(Grid_BD[[#This Row],[Work Completion time on fault]]-Grid_BD[[#This Row],[Fault Time]])*24</f>
        <v>0.14999999999999947</v>
      </c>
      <c r="Z6" s="67">
        <f>(Grid_BD[[#This Row],[Work Completion time on fault]]-Grid_BD[[#This Row],[Fault Time]])*24</f>
        <v>0.14999999999999947</v>
      </c>
      <c r="AB6" s="7" t="s">
        <v>73</v>
      </c>
      <c r="AC6" s="67">
        <f>IFERROR(Grid_BD[[#This Row],[Plant Equivalent Weightage]]*Grid_BD[[#This Row],[Resolution Time]],"")</f>
        <v>0.14999999999999947</v>
      </c>
      <c r="AD6" s="7">
        <v>0.03</v>
      </c>
      <c r="AE6" s="111">
        <f>Grid_BD[[#This Row],[Lost PoA(kWh/m2)]]*Grid_BD[[#This Row],[DC Capacity Affected (kW)]]*_xlfn.XLOOKUP(Grid_BD[[#This Row],[Month Year]],'Modelling New'!$D:$D,'Modelling New'!$O:$O)</f>
        <v>162.48933518558263</v>
      </c>
    </row>
    <row r="7" spans="1:31" x14ac:dyDescent="0.3">
      <c r="A7" s="7">
        <f t="shared" si="0"/>
        <v>6</v>
      </c>
      <c r="B7" s="203">
        <v>45763</v>
      </c>
      <c r="C7" s="101">
        <f>YEAR(Grid_BD[[#This Row],[Date]])+IF(MONTH(Grid_BD[[#This Row],[Date]])&gt;=4,1,0)</f>
        <v>2026</v>
      </c>
      <c r="D7" s="7">
        <f>YEAR(Grid_BD[[#This Row],[Date]])</f>
        <v>2025</v>
      </c>
      <c r="E7" s="204" t="s">
        <v>317</v>
      </c>
      <c r="F7" s="204" t="s">
        <v>317</v>
      </c>
      <c r="G7" s="205">
        <f>Grid_BD[[#This Row],[Date]]-DAY(Grid_BD[[#This Row],[Date]])+1</f>
        <v>45748</v>
      </c>
      <c r="H7" s="7">
        <f>DAY(EOMONTH(Grid_BD[[#This Row],[Month Year]],0))</f>
        <v>30</v>
      </c>
      <c r="I7" s="207">
        <f>_xlfn.XLOOKUP(Grid_BD[[#This Row],[Date]],'Raw Data'!$G:$G,'Raw Data'!$I:$I)</f>
        <v>0.25</v>
      </c>
      <c r="J7" s="207">
        <f>_xlfn.XLOOKUP(Grid_BD[[#This Row],[Date]],'Raw Data'!$G:$G,'Raw Data'!$J:$J)</f>
        <v>0.77083333333333337</v>
      </c>
      <c r="K7" s="111">
        <f>IFERROR((Grid_BD[[#This Row],[Sunset Time (POA&lt;20 W/m2)]]-Grid_BD[[#This Row],[Sunrise Time (POA&gt;20 W/m2)]])*24,"")</f>
        <v>12.5</v>
      </c>
      <c r="L7" s="7" t="s">
        <v>292</v>
      </c>
      <c r="M7" s="67">
        <v>8020.9</v>
      </c>
      <c r="N7" s="208">
        <f>IFERROR(VLOOKUP(Grid_BD[[#This Row],[Affected Equipment ]],'Basic Data'!$A$2:$C$118,3,0),"")</f>
        <v>1</v>
      </c>
      <c r="O7" s="7" t="s">
        <v>293</v>
      </c>
      <c r="P7" s="7" t="s">
        <v>19</v>
      </c>
      <c r="R7" s="182" t="s">
        <v>1180</v>
      </c>
      <c r="S7" s="207">
        <v>0.59791666666666665</v>
      </c>
      <c r="V7" s="207">
        <v>0.6118055555555556</v>
      </c>
      <c r="Y7" s="111">
        <f>(Grid_BD[[#This Row],[Work Completion time on fault]]-Grid_BD[[#This Row],[Fault Time]])*24</f>
        <v>0.33333333333333481</v>
      </c>
      <c r="Z7" s="67">
        <f>(Grid_BD[[#This Row],[Work Completion time on fault]]-Grid_BD[[#This Row],[Fault Time]])*24</f>
        <v>0.33333333333333481</v>
      </c>
      <c r="AB7" s="7" t="s">
        <v>73</v>
      </c>
      <c r="AC7" s="67">
        <f>IFERROR(Grid_BD[[#This Row],[Plant Equivalent Weightage]]*Grid_BD[[#This Row],[Resolution Time]],"")</f>
        <v>0.33333333333333481</v>
      </c>
      <c r="AD7" s="7">
        <v>0.25</v>
      </c>
      <c r="AE7" s="111">
        <f>Grid_BD[[#This Row],[Lost PoA(kWh/m2)]]*Grid_BD[[#This Row],[DC Capacity Affected (kW)]]*_xlfn.XLOOKUP(Grid_BD[[#This Row],[Month Year]],'Modelling New'!$D:$D,'Modelling New'!$O:$O)</f>
        <v>1354.0777932131887</v>
      </c>
    </row>
    <row r="8" spans="1:31" x14ac:dyDescent="0.3">
      <c r="A8" s="7">
        <f t="shared" si="0"/>
        <v>7</v>
      </c>
      <c r="B8" s="203">
        <v>45763</v>
      </c>
      <c r="C8" s="101">
        <f>YEAR(Grid_BD[[#This Row],[Date]])+IF(MONTH(Grid_BD[[#This Row],[Date]])&gt;=4,1,0)</f>
        <v>2026</v>
      </c>
      <c r="D8" s="7">
        <f>YEAR(Grid_BD[[#This Row],[Date]])</f>
        <v>2025</v>
      </c>
      <c r="E8" s="204" t="s">
        <v>317</v>
      </c>
      <c r="F8" s="204" t="s">
        <v>317</v>
      </c>
      <c r="G8" s="205">
        <f>Grid_BD[[#This Row],[Date]]-DAY(Grid_BD[[#This Row],[Date]])+1</f>
        <v>45748</v>
      </c>
      <c r="H8" s="7">
        <f>DAY(EOMONTH(Grid_BD[[#This Row],[Month Year]],0))</f>
        <v>30</v>
      </c>
      <c r="I8" s="207">
        <f>_xlfn.XLOOKUP(Grid_BD[[#This Row],[Date]],'Raw Data'!$G:$G,'Raw Data'!$I:$I)</f>
        <v>0.25</v>
      </c>
      <c r="J8" s="207">
        <f>_xlfn.XLOOKUP(Grid_BD[[#This Row],[Date]],'Raw Data'!$G:$G,'Raw Data'!$J:$J)</f>
        <v>0.77083333333333337</v>
      </c>
      <c r="K8" s="111">
        <f>IFERROR((Grid_BD[[#This Row],[Sunset Time (POA&lt;20 W/m2)]]-Grid_BD[[#This Row],[Sunrise Time (POA&gt;20 W/m2)]])*24,"")</f>
        <v>12.5</v>
      </c>
      <c r="L8" s="7" t="s">
        <v>292</v>
      </c>
      <c r="M8" s="67">
        <v>8020.9</v>
      </c>
      <c r="N8" s="208">
        <f>IFERROR(VLOOKUP(Grid_BD[[#This Row],[Affected Equipment ]],'Basic Data'!$A$2:$C$118,3,0),"")</f>
        <v>1</v>
      </c>
      <c r="O8" s="7" t="s">
        <v>293</v>
      </c>
      <c r="P8" s="7" t="s">
        <v>19</v>
      </c>
      <c r="R8" s="182" t="s">
        <v>1180</v>
      </c>
      <c r="S8" s="207">
        <v>0.69791666666666663</v>
      </c>
      <c r="V8" s="207">
        <v>0.75694444444444442</v>
      </c>
      <c r="Y8" s="111">
        <f>(Grid_BD[[#This Row],[Work Completion time on fault]]-Grid_BD[[#This Row],[Fault Time]])*24</f>
        <v>1.416666666666667</v>
      </c>
      <c r="Z8" s="67">
        <f>(Grid_BD[[#This Row],[Work Completion time on fault]]-Grid_BD[[#This Row],[Fault Time]])*24</f>
        <v>1.416666666666667</v>
      </c>
      <c r="AB8" s="7" t="s">
        <v>73</v>
      </c>
      <c r="AC8" s="67">
        <f>IFERROR(Grid_BD[[#This Row],[Plant Equivalent Weightage]]*Grid_BD[[#This Row],[Resolution Time]],"")</f>
        <v>1.416666666666667</v>
      </c>
      <c r="AD8" s="7">
        <v>0.02</v>
      </c>
      <c r="AE8" s="111">
        <f>Grid_BD[[#This Row],[Lost PoA(kWh/m2)]]*Grid_BD[[#This Row],[DC Capacity Affected (kW)]]*_xlfn.XLOOKUP(Grid_BD[[#This Row],[Month Year]],'Modelling New'!$D:$D,'Modelling New'!$O:$O)</f>
        <v>108.32622345705511</v>
      </c>
    </row>
    <row r="9" spans="1:31" x14ac:dyDescent="0.3">
      <c r="A9" s="7">
        <f t="shared" si="0"/>
        <v>8</v>
      </c>
      <c r="B9" s="203">
        <v>45766</v>
      </c>
      <c r="C9" s="101">
        <f>YEAR(Grid_BD[[#This Row],[Date]])+IF(MONTH(Grid_BD[[#This Row],[Date]])&gt;=4,1,0)</f>
        <v>2026</v>
      </c>
      <c r="D9" s="7">
        <f>YEAR(Grid_BD[[#This Row],[Date]])</f>
        <v>2025</v>
      </c>
      <c r="E9" s="204" t="s">
        <v>317</v>
      </c>
      <c r="F9" s="204" t="s">
        <v>317</v>
      </c>
      <c r="G9" s="205">
        <f>Grid_BD[[#This Row],[Date]]-DAY(Grid_BD[[#This Row],[Date]])+1</f>
        <v>45748</v>
      </c>
      <c r="H9" s="7">
        <f>DAY(EOMONTH(Grid_BD[[#This Row],[Month Year]],0))</f>
        <v>30</v>
      </c>
      <c r="I9" s="207">
        <f>_xlfn.XLOOKUP(Grid_BD[[#This Row],[Date]],'Raw Data'!$G:$G,'Raw Data'!$I:$I)</f>
        <v>0.25624999999999998</v>
      </c>
      <c r="J9" s="207">
        <f>_xlfn.XLOOKUP(Grid_BD[[#This Row],[Date]],'Raw Data'!$G:$G,'Raw Data'!$J:$J)</f>
        <v>0.77361111111111114</v>
      </c>
      <c r="K9" s="111">
        <f>IFERROR((Grid_BD[[#This Row],[Sunset Time (POA&lt;20 W/m2)]]-Grid_BD[[#This Row],[Sunrise Time (POA&gt;20 W/m2)]])*24,"")</f>
        <v>12.416666666666668</v>
      </c>
      <c r="L9" s="7" t="s">
        <v>292</v>
      </c>
      <c r="M9" s="67">
        <v>8020.9</v>
      </c>
      <c r="N9" s="208">
        <f>IFERROR(VLOOKUP(Grid_BD[[#This Row],[Affected Equipment ]],'Basic Data'!$A$2:$C$118,3,0),"")</f>
        <v>1</v>
      </c>
      <c r="O9" s="7" t="s">
        <v>293</v>
      </c>
      <c r="P9" s="7" t="s">
        <v>19</v>
      </c>
      <c r="R9" s="182" t="s">
        <v>1184</v>
      </c>
      <c r="S9" s="207">
        <v>0.68194444444444446</v>
      </c>
      <c r="V9" s="207">
        <v>0.74097222222222225</v>
      </c>
      <c r="Y9" s="111">
        <f>(Grid_BD[[#This Row],[Work Completion time on fault]]-Grid_BD[[#This Row],[Fault Time]])*24</f>
        <v>1.416666666666667</v>
      </c>
      <c r="Z9" s="67">
        <f>(Grid_BD[[#This Row],[Work Completion time on fault]]-Grid_BD[[#This Row],[Fault Time]])*24</f>
        <v>1.416666666666667</v>
      </c>
      <c r="AB9" s="7" t="s">
        <v>73</v>
      </c>
      <c r="AC9" s="67">
        <f>IFERROR(Grid_BD[[#This Row],[Plant Equivalent Weightage]]*Grid_BD[[#This Row],[Resolution Time]],"")</f>
        <v>1.416666666666667</v>
      </c>
      <c r="AD9" s="7">
        <v>0.17</v>
      </c>
      <c r="AE9" s="111">
        <f>Grid_BD[[#This Row],[Lost PoA(kWh/m2)]]*Grid_BD[[#This Row],[DC Capacity Affected (kW)]]*_xlfn.XLOOKUP(Grid_BD[[#This Row],[Month Year]],'Modelling New'!$D:$D,'Modelling New'!$O:$O)</f>
        <v>920.77289938496847</v>
      </c>
    </row>
    <row r="10" spans="1:31" x14ac:dyDescent="0.3">
      <c r="A10" s="7">
        <f t="shared" si="0"/>
        <v>9</v>
      </c>
      <c r="B10" s="203">
        <v>45766</v>
      </c>
      <c r="C10" s="101">
        <f>YEAR(Grid_BD[[#This Row],[Date]])+IF(MONTH(Grid_BD[[#This Row],[Date]])&gt;=4,1,0)</f>
        <v>2026</v>
      </c>
      <c r="D10" s="7">
        <f>YEAR(Grid_BD[[#This Row],[Date]])</f>
        <v>2025</v>
      </c>
      <c r="E10" s="204" t="s">
        <v>317</v>
      </c>
      <c r="F10" s="204" t="s">
        <v>317</v>
      </c>
      <c r="G10" s="205">
        <f>Grid_BD[[#This Row],[Date]]-DAY(Grid_BD[[#This Row],[Date]])+1</f>
        <v>45748</v>
      </c>
      <c r="H10" s="7">
        <f>DAY(EOMONTH(Grid_BD[[#This Row],[Month Year]],0))</f>
        <v>30</v>
      </c>
      <c r="I10" s="207">
        <f>_xlfn.XLOOKUP(Grid_BD[[#This Row],[Date]],'Raw Data'!$G:$G,'Raw Data'!$I:$I)</f>
        <v>0.25624999999999998</v>
      </c>
      <c r="J10" s="207">
        <f>_xlfn.XLOOKUP(Grid_BD[[#This Row],[Date]],'Raw Data'!$G:$G,'Raw Data'!$J:$J)</f>
        <v>0.77361111111111114</v>
      </c>
      <c r="K10" s="111">
        <f>IFERROR((Grid_BD[[#This Row],[Sunset Time (POA&lt;20 W/m2)]]-Grid_BD[[#This Row],[Sunrise Time (POA&gt;20 W/m2)]])*24,"")</f>
        <v>12.416666666666668</v>
      </c>
      <c r="L10" s="7" t="s">
        <v>292</v>
      </c>
      <c r="M10" s="67">
        <v>8020.9</v>
      </c>
      <c r="N10" s="208">
        <f>IFERROR(VLOOKUP(Grid_BD[[#This Row],[Affected Equipment ]],'Basic Data'!$A$2:$C$118,3,0),"")</f>
        <v>1</v>
      </c>
      <c r="O10" s="7" t="s">
        <v>293</v>
      </c>
      <c r="P10" s="7" t="s">
        <v>19</v>
      </c>
      <c r="R10" s="182" t="s">
        <v>294</v>
      </c>
      <c r="S10" s="207">
        <v>0.75624999999999998</v>
      </c>
      <c r="V10" s="207">
        <v>0.77500000000000002</v>
      </c>
      <c r="Y10" s="111">
        <f>(Grid_BD[[#This Row],[Work Completion time on fault]]-Grid_BD[[#This Row],[Fault Time]])*24</f>
        <v>0.45000000000000107</v>
      </c>
      <c r="Z10" s="67">
        <f>(Grid_BD[[#This Row],[Work Completion time on fault]]-Grid_BD[[#This Row],[Fault Time]])*24</f>
        <v>0.45000000000000107</v>
      </c>
      <c r="AB10" s="7" t="s">
        <v>73</v>
      </c>
      <c r="AC10" s="67">
        <f>IFERROR(Grid_BD[[#This Row],[Plant Equivalent Weightage]]*Grid_BD[[#This Row],[Resolution Time]],"")</f>
        <v>0.45000000000000107</v>
      </c>
      <c r="AD10" s="7">
        <v>7.0000000000000001E-3</v>
      </c>
      <c r="AE10" s="111">
        <f>Grid_BD[[#This Row],[Lost PoA(kWh/m2)]]*Grid_BD[[#This Row],[DC Capacity Affected (kW)]]*_xlfn.XLOOKUP(Grid_BD[[#This Row],[Month Year]],'Modelling New'!$D:$D,'Modelling New'!$O:$O)</f>
        <v>37.914178209969286</v>
      </c>
    </row>
    <row r="11" spans="1:31" x14ac:dyDescent="0.3">
      <c r="A11" s="7">
        <f t="shared" si="0"/>
        <v>10</v>
      </c>
      <c r="B11" s="203">
        <v>45768</v>
      </c>
      <c r="C11" s="101">
        <f>YEAR(Grid_BD[[#This Row],[Date]])+IF(MONTH(Grid_BD[[#This Row],[Date]])&gt;=4,1,0)</f>
        <v>2026</v>
      </c>
      <c r="D11" s="7">
        <f>YEAR(Grid_BD[[#This Row],[Date]])</f>
        <v>2025</v>
      </c>
      <c r="E11" s="204" t="s">
        <v>317</v>
      </c>
      <c r="F11" s="204" t="s">
        <v>317</v>
      </c>
      <c r="G11" s="205">
        <f>Grid_BD[[#This Row],[Date]]-DAY(Grid_BD[[#This Row],[Date]])+1</f>
        <v>45748</v>
      </c>
      <c r="H11" s="7">
        <f>DAY(EOMONTH(Grid_BD[[#This Row],[Month Year]],0))</f>
        <v>30</v>
      </c>
      <c r="I11" s="207">
        <f>_xlfn.XLOOKUP(Grid_BD[[#This Row],[Date]],'Raw Data'!$G:$G,'Raw Data'!$I:$I)</f>
        <v>0.25069444444444444</v>
      </c>
      <c r="J11" s="207">
        <f>_xlfn.XLOOKUP(Grid_BD[[#This Row],[Date]],'Raw Data'!$G:$G,'Raw Data'!$J:$J)</f>
        <v>0.76944444444444449</v>
      </c>
      <c r="K11" s="111">
        <f>IFERROR((Grid_BD[[#This Row],[Sunset Time (POA&lt;20 W/m2)]]-Grid_BD[[#This Row],[Sunrise Time (POA&gt;20 W/m2)]])*24,"")</f>
        <v>12.450000000000001</v>
      </c>
      <c r="L11" s="7" t="s">
        <v>292</v>
      </c>
      <c r="M11" s="67">
        <v>8020.9</v>
      </c>
      <c r="N11" s="208">
        <f>IFERROR(VLOOKUP(Grid_BD[[#This Row],[Affected Equipment ]],'Basic Data'!$A$2:$C$118,3,0),"")</f>
        <v>1</v>
      </c>
      <c r="O11" s="7" t="s">
        <v>293</v>
      </c>
      <c r="P11" s="7" t="s">
        <v>19</v>
      </c>
      <c r="R11" s="182" t="s">
        <v>1184</v>
      </c>
      <c r="S11" s="207">
        <v>0.4777777777777778</v>
      </c>
      <c r="V11" s="207">
        <v>0.51944444444444449</v>
      </c>
      <c r="Y11" s="111">
        <f>(Grid_BD[[#This Row],[Work Completion time on fault]]-Grid_BD[[#This Row],[Fault Time]])*24</f>
        <v>1.0000000000000004</v>
      </c>
      <c r="Z11" s="67">
        <f>(Grid_BD[[#This Row],[Work Completion time on fault]]-Grid_BD[[#This Row],[Fault Time]])*24</f>
        <v>1.0000000000000004</v>
      </c>
      <c r="AB11" s="7" t="s">
        <v>73</v>
      </c>
      <c r="AC11" s="67">
        <f>IFERROR(Grid_BD[[#This Row],[Plant Equivalent Weightage]]*Grid_BD[[#This Row],[Resolution Time]],"")</f>
        <v>1.0000000000000004</v>
      </c>
      <c r="AD11" s="7">
        <v>0.89</v>
      </c>
      <c r="AE11" s="111">
        <f>Grid_BD[[#This Row],[Lost PoA(kWh/m2)]]*Grid_BD[[#This Row],[DC Capacity Affected (kW)]]*_xlfn.XLOOKUP(Grid_BD[[#This Row],[Month Year]],'Modelling New'!$D:$D,'Modelling New'!$O:$O)</f>
        <v>4820.5169438389521</v>
      </c>
    </row>
    <row r="12" spans="1:31" x14ac:dyDescent="0.3">
      <c r="A12" s="7">
        <f t="shared" si="0"/>
        <v>11</v>
      </c>
      <c r="B12" s="203">
        <v>45771</v>
      </c>
      <c r="C12" s="101">
        <f>YEAR(Grid_BD[[#This Row],[Date]])+IF(MONTH(Grid_BD[[#This Row],[Date]])&gt;=4,1,0)</f>
        <v>2026</v>
      </c>
      <c r="D12" s="7">
        <f>YEAR(Grid_BD[[#This Row],[Date]])</f>
        <v>2025</v>
      </c>
      <c r="E12" s="204" t="s">
        <v>317</v>
      </c>
      <c r="F12" s="204" t="s">
        <v>317</v>
      </c>
      <c r="G12" s="205">
        <f>Grid_BD[[#This Row],[Date]]-DAY(Grid_BD[[#This Row],[Date]])+1</f>
        <v>45748</v>
      </c>
      <c r="H12" s="7">
        <f>DAY(EOMONTH(Grid_BD[[#This Row],[Month Year]],0))</f>
        <v>30</v>
      </c>
      <c r="I12" s="207">
        <f>_xlfn.XLOOKUP(Grid_BD[[#This Row],[Date]],'Raw Data'!$G:$G,'Raw Data'!$I:$I)</f>
        <v>0.25277777777777777</v>
      </c>
      <c r="J12" s="207">
        <f>_xlfn.XLOOKUP(Grid_BD[[#This Row],[Date]],'Raw Data'!$G:$G,'Raw Data'!$J:$J)</f>
        <v>0.76249999999999996</v>
      </c>
      <c r="K12" s="111">
        <f>IFERROR((Grid_BD[[#This Row],[Sunset Time (POA&lt;20 W/m2)]]-Grid_BD[[#This Row],[Sunrise Time (POA&gt;20 W/m2)]])*24,"")</f>
        <v>12.233333333333333</v>
      </c>
      <c r="L12" s="7" t="s">
        <v>292</v>
      </c>
      <c r="M12" s="67">
        <v>8020.9</v>
      </c>
      <c r="N12" s="208">
        <f>IFERROR(VLOOKUP(Grid_BD[[#This Row],[Affected Equipment ]],'Basic Data'!$A$2:$C$118,3,0),"")</f>
        <v>1</v>
      </c>
      <c r="O12" s="7" t="s">
        <v>293</v>
      </c>
      <c r="P12" s="7" t="s">
        <v>19</v>
      </c>
      <c r="R12" s="182" t="s">
        <v>1180</v>
      </c>
      <c r="S12" s="207">
        <v>0.69166666666666665</v>
      </c>
      <c r="V12" s="207">
        <v>0.80902777777777779</v>
      </c>
      <c r="Y12" s="111">
        <f>(Grid_BD[[#This Row],[Work Completion time on fault]]-Grid_BD[[#This Row],[Fault Time]])*24</f>
        <v>2.8166666666666673</v>
      </c>
      <c r="Z12" s="67">
        <f>(Grid_BD[[#This Row],[Work Completion time on fault]]-Grid_BD[[#This Row],[Fault Time]])*24</f>
        <v>2.8166666666666673</v>
      </c>
      <c r="AB12" s="7" t="s">
        <v>73</v>
      </c>
      <c r="AC12" s="67">
        <f>IFERROR(Grid_BD[[#This Row],[Plant Equivalent Weightage]]*Grid_BD[[#This Row],[Resolution Time]],"")</f>
        <v>2.8166666666666673</v>
      </c>
      <c r="AD12" s="7">
        <v>0.1</v>
      </c>
      <c r="AE12" s="111">
        <f>Grid_BD[[#This Row],[Lost PoA(kWh/m2)]]*Grid_BD[[#This Row],[DC Capacity Affected (kW)]]*_xlfn.XLOOKUP(Grid_BD[[#This Row],[Month Year]],'Modelling New'!$D:$D,'Modelling New'!$O:$O)</f>
        <v>541.63111728527554</v>
      </c>
    </row>
    <row r="13" spans="1:31" x14ac:dyDescent="0.3">
      <c r="A13" s="7">
        <f t="shared" si="0"/>
        <v>12</v>
      </c>
      <c r="B13" s="203">
        <v>45772</v>
      </c>
      <c r="C13" s="101">
        <f>YEAR(Grid_BD[[#This Row],[Date]])+IF(MONTH(Grid_BD[[#This Row],[Date]])&gt;=4,1,0)</f>
        <v>2026</v>
      </c>
      <c r="D13" s="7">
        <f>YEAR(Grid_BD[[#This Row],[Date]])</f>
        <v>2025</v>
      </c>
      <c r="E13" s="204" t="s">
        <v>317</v>
      </c>
      <c r="F13" s="204" t="s">
        <v>317</v>
      </c>
      <c r="G13" s="205">
        <f>Grid_BD[[#This Row],[Date]]-DAY(Grid_BD[[#This Row],[Date]])+1</f>
        <v>45748</v>
      </c>
      <c r="H13" s="7">
        <f>DAY(EOMONTH(Grid_BD[[#This Row],[Month Year]],0))</f>
        <v>30</v>
      </c>
      <c r="I13" s="207">
        <f>_xlfn.XLOOKUP(Grid_BD[[#This Row],[Date]],'Raw Data'!$G:$G,'Raw Data'!$I:$I)</f>
        <v>0.25347222222222221</v>
      </c>
      <c r="J13" s="207">
        <f>_xlfn.XLOOKUP(Grid_BD[[#This Row],[Date]],'Raw Data'!$G:$G,'Raw Data'!$J:$J)</f>
        <v>0.75694444444444442</v>
      </c>
      <c r="K13" s="111">
        <f>IFERROR((Grid_BD[[#This Row],[Sunset Time (POA&lt;20 W/m2)]]-Grid_BD[[#This Row],[Sunrise Time (POA&gt;20 W/m2)]])*24,"")</f>
        <v>12.083333333333332</v>
      </c>
      <c r="L13" s="7" t="s">
        <v>292</v>
      </c>
      <c r="M13" s="67">
        <v>8020.9</v>
      </c>
      <c r="N13" s="208">
        <f>IFERROR(VLOOKUP(Grid_BD[[#This Row],[Affected Equipment ]],'Basic Data'!$A$2:$C$118,3,0),"")</f>
        <v>1</v>
      </c>
      <c r="O13" s="7" t="s">
        <v>293</v>
      </c>
      <c r="P13" s="7" t="s">
        <v>19</v>
      </c>
      <c r="R13" s="182" t="s">
        <v>1180</v>
      </c>
      <c r="S13" s="207">
        <v>0.67083333333333328</v>
      </c>
      <c r="V13" s="207">
        <v>0.75694444444444442</v>
      </c>
      <c r="Y13" s="111">
        <f>(Grid_BD[[#This Row],[Work Completion time on fault]]-Grid_BD[[#This Row],[Fault Time]])*24</f>
        <v>2.0666666666666673</v>
      </c>
      <c r="Z13" s="67">
        <f>(Grid_BD[[#This Row],[Work Completion time on fault]]-Grid_BD[[#This Row],[Fault Time]])*24</f>
        <v>2.0666666666666673</v>
      </c>
      <c r="AB13" s="7" t="s">
        <v>73</v>
      </c>
      <c r="AC13" s="67">
        <f>IFERROR(Grid_BD[[#This Row],[Plant Equivalent Weightage]]*Grid_BD[[#This Row],[Resolution Time]],"")</f>
        <v>2.0666666666666673</v>
      </c>
      <c r="AD13" s="7">
        <v>0.23</v>
      </c>
      <c r="AE13" s="111">
        <f>Grid_BD[[#This Row],[Lost PoA(kWh/m2)]]*Grid_BD[[#This Row],[DC Capacity Affected (kW)]]*_xlfn.XLOOKUP(Grid_BD[[#This Row],[Month Year]],'Modelling New'!$D:$D,'Modelling New'!$O:$O)</f>
        <v>1245.7515697561337</v>
      </c>
    </row>
    <row r="14" spans="1:31" x14ac:dyDescent="0.3">
      <c r="A14" s="7">
        <f t="shared" si="0"/>
        <v>13</v>
      </c>
      <c r="B14" s="203">
        <v>45773</v>
      </c>
      <c r="C14" s="101">
        <f>YEAR(Grid_BD[[#This Row],[Date]])+IF(MONTH(Grid_BD[[#This Row],[Date]])&gt;=4,1,0)</f>
        <v>2026</v>
      </c>
      <c r="D14" s="7">
        <f>YEAR(Grid_BD[[#This Row],[Date]])</f>
        <v>2025</v>
      </c>
      <c r="E14" s="204" t="s">
        <v>317</v>
      </c>
      <c r="F14" s="204" t="s">
        <v>317</v>
      </c>
      <c r="G14" s="205">
        <f>Grid_BD[[#This Row],[Date]]-DAY(Grid_BD[[#This Row],[Date]])+1</f>
        <v>45748</v>
      </c>
      <c r="H14" s="7">
        <f>DAY(EOMONTH(Grid_BD[[#This Row],[Month Year]],0))</f>
        <v>30</v>
      </c>
      <c r="I14" s="207">
        <f>_xlfn.XLOOKUP(Grid_BD[[#This Row],[Date]],'Raw Data'!$G:$G,'Raw Data'!$I:$I)</f>
        <v>0.25</v>
      </c>
      <c r="J14" s="207">
        <f>_xlfn.XLOOKUP(Grid_BD[[#This Row],[Date]],'Raw Data'!$G:$G,'Raw Data'!$J:$J)</f>
        <v>0.76736111111111116</v>
      </c>
      <c r="K14" s="111">
        <f>IFERROR((Grid_BD[[#This Row],[Sunset Time (POA&lt;20 W/m2)]]-Grid_BD[[#This Row],[Sunrise Time (POA&gt;20 W/m2)]])*24,"")</f>
        <v>12.416666666666668</v>
      </c>
      <c r="L14" s="7" t="s">
        <v>292</v>
      </c>
      <c r="M14" s="67">
        <v>8020.9</v>
      </c>
      <c r="N14" s="208">
        <f>IFERROR(VLOOKUP(Grid_BD[[#This Row],[Affected Equipment ]],'Basic Data'!$A$2:$C$118,3,0),"")</f>
        <v>1</v>
      </c>
      <c r="O14" s="7" t="s">
        <v>293</v>
      </c>
      <c r="P14" s="7" t="s">
        <v>19</v>
      </c>
      <c r="R14" s="182" t="s">
        <v>294</v>
      </c>
      <c r="S14" s="207">
        <v>0.65763888888888888</v>
      </c>
      <c r="V14" s="207">
        <v>0.67152777777777772</v>
      </c>
      <c r="Y14" s="111">
        <f>(Grid_BD[[#This Row],[Work Completion time on fault]]-Grid_BD[[#This Row],[Fault Time]])*24</f>
        <v>0.33333333333333215</v>
      </c>
      <c r="Z14" s="67">
        <f>(Grid_BD[[#This Row],[Work Completion time on fault]]-Grid_BD[[#This Row],[Fault Time]])*24</f>
        <v>0.33333333333333215</v>
      </c>
      <c r="AB14" s="7" t="s">
        <v>73</v>
      </c>
      <c r="AC14" s="67">
        <f>IFERROR(Grid_BD[[#This Row],[Plant Equivalent Weightage]]*Grid_BD[[#This Row],[Resolution Time]],"")</f>
        <v>0.33333333333333215</v>
      </c>
      <c r="AD14" s="7">
        <v>0.04</v>
      </c>
      <c r="AE14" s="111">
        <f>Grid_BD[[#This Row],[Lost PoA(kWh/m2)]]*Grid_BD[[#This Row],[DC Capacity Affected (kW)]]*_xlfn.XLOOKUP(Grid_BD[[#This Row],[Month Year]],'Modelling New'!$D:$D,'Modelling New'!$O:$O)</f>
        <v>216.65244691411021</v>
      </c>
    </row>
    <row r="15" spans="1:31" x14ac:dyDescent="0.3">
      <c r="A15" s="7">
        <f t="shared" si="0"/>
        <v>14</v>
      </c>
      <c r="B15" s="203">
        <v>45778</v>
      </c>
      <c r="C15" s="101">
        <f>YEAR(Grid_BD[[#This Row],[Date]])+IF(MONTH(Grid_BD[[#This Row],[Date]])&gt;=4,1,0)</f>
        <v>2026</v>
      </c>
      <c r="D15" s="7">
        <f>YEAR(Grid_BD[[#This Row],[Date]])</f>
        <v>2025</v>
      </c>
      <c r="E15" s="204" t="s">
        <v>317</v>
      </c>
      <c r="F15" s="204" t="s">
        <v>317</v>
      </c>
      <c r="G15" s="205">
        <f>Grid_BD[[#This Row],[Date]]-DAY(Grid_BD[[#This Row],[Date]])+1</f>
        <v>45778</v>
      </c>
      <c r="H15" s="7">
        <f>DAY(EOMONTH(Grid_BD[[#This Row],[Month Year]],0))</f>
        <v>31</v>
      </c>
      <c r="I15" s="207">
        <f>_xlfn.XLOOKUP(Grid_BD[[#This Row],[Date]],'Raw Data'!$G:$G,'Raw Data'!$I:$I)</f>
        <v>0.25069444444444444</v>
      </c>
      <c r="J15" s="207">
        <f>_xlfn.XLOOKUP(Grid_BD[[#This Row],[Date]],'Raw Data'!$G:$G,'Raw Data'!$J:$J)</f>
        <v>0.77708333333333335</v>
      </c>
      <c r="K15" s="111">
        <f>IFERROR((Grid_BD[[#This Row],[Sunset Time (POA&lt;20 W/m2)]]-Grid_BD[[#This Row],[Sunrise Time (POA&gt;20 W/m2)]])*24,"")</f>
        <v>12.633333333333333</v>
      </c>
      <c r="L15" s="7" t="s">
        <v>292</v>
      </c>
      <c r="M15" s="67">
        <v>8020.9</v>
      </c>
      <c r="N15" s="208">
        <f>IFERROR(VLOOKUP(Grid_BD[[#This Row],[Affected Equipment ]],'Basic Data'!$A$2:$C$118,3,0),"")</f>
        <v>1</v>
      </c>
      <c r="O15" s="7" t="s">
        <v>293</v>
      </c>
      <c r="P15" s="7" t="s">
        <v>19</v>
      </c>
      <c r="R15" s="182" t="s">
        <v>294</v>
      </c>
      <c r="S15" s="207">
        <v>0.43888888888888888</v>
      </c>
      <c r="V15" s="207">
        <v>0.45</v>
      </c>
      <c r="Y15" s="111">
        <f>(Grid_BD[[#This Row],[Work Completion time on fault]]-Grid_BD[[#This Row],[Fault Time]])*24</f>
        <v>0.26666666666666705</v>
      </c>
      <c r="Z15" s="67">
        <f>(Grid_BD[[#This Row],[Work Completion time on fault]]-Grid_BD[[#This Row],[Fault Time]])*24</f>
        <v>0.26666666666666705</v>
      </c>
      <c r="AB15" s="7" t="s">
        <v>73</v>
      </c>
      <c r="AC15" s="67">
        <f>IFERROR(Grid_BD[[#This Row],[Plant Equivalent Weightage]]*Grid_BD[[#This Row],[Resolution Time]],"")</f>
        <v>0.26666666666666705</v>
      </c>
      <c r="AD15" s="7">
        <v>0.22</v>
      </c>
      <c r="AE15" s="111">
        <f>Grid_BD[[#This Row],[Lost PoA(kWh/m2)]]*Grid_BD[[#This Row],[DC Capacity Affected (kW)]]*_xlfn.XLOOKUP(Grid_BD[[#This Row],[Month Year]],'Modelling New'!$D:$D,'Modelling New'!$O:$O)</f>
        <v>1228.5419413660882</v>
      </c>
    </row>
    <row r="16" spans="1:31" x14ac:dyDescent="0.3">
      <c r="A16" s="7">
        <f t="shared" si="0"/>
        <v>15</v>
      </c>
      <c r="B16" s="203">
        <v>45779</v>
      </c>
      <c r="C16" s="101">
        <f>YEAR(Grid_BD[[#This Row],[Date]])+IF(MONTH(Grid_BD[[#This Row],[Date]])&gt;=4,1,0)</f>
        <v>2026</v>
      </c>
      <c r="D16" s="7">
        <f>YEAR(Grid_BD[[#This Row],[Date]])</f>
        <v>2025</v>
      </c>
      <c r="E16" s="204" t="s">
        <v>317</v>
      </c>
      <c r="F16" s="204" t="s">
        <v>317</v>
      </c>
      <c r="G16" s="205">
        <f>Grid_BD[[#This Row],[Date]]-DAY(Grid_BD[[#This Row],[Date]])+1</f>
        <v>45778</v>
      </c>
      <c r="H16" s="7">
        <f>DAY(EOMONTH(Grid_BD[[#This Row],[Month Year]],0))</f>
        <v>31</v>
      </c>
      <c r="I16" s="207">
        <f>_xlfn.XLOOKUP(Grid_BD[[#This Row],[Date]],'Raw Data'!$G:$G,'Raw Data'!$I:$I)</f>
        <v>0.25069444444444444</v>
      </c>
      <c r="J16" s="207">
        <f>_xlfn.XLOOKUP(Grid_BD[[#This Row],[Date]],'Raw Data'!$G:$G,'Raw Data'!$J:$J)</f>
        <v>0.77569444444444446</v>
      </c>
      <c r="K16" s="111">
        <f>IFERROR((Grid_BD[[#This Row],[Sunset Time (POA&lt;20 W/m2)]]-Grid_BD[[#This Row],[Sunrise Time (POA&gt;20 W/m2)]])*24,"")</f>
        <v>12.600000000000001</v>
      </c>
      <c r="L16" s="7" t="s">
        <v>292</v>
      </c>
      <c r="M16" s="67">
        <v>8020.9</v>
      </c>
      <c r="N16" s="208">
        <f>IFERROR(VLOOKUP(Grid_BD[[#This Row],[Affected Equipment ]],'Basic Data'!$A$2:$C$118,3,0),"")</f>
        <v>1</v>
      </c>
      <c r="O16" s="7" t="s">
        <v>293</v>
      </c>
      <c r="P16" s="7" t="s">
        <v>19</v>
      </c>
      <c r="R16" s="182" t="s">
        <v>1185</v>
      </c>
      <c r="S16" s="207">
        <v>0.3888888888888889</v>
      </c>
      <c r="V16" s="207">
        <v>0.41666666666666669</v>
      </c>
      <c r="Y16" s="111">
        <f>(Grid_BD[[#This Row],[Work Completion time on fault]]-Grid_BD[[#This Row],[Fault Time]])*24</f>
        <v>0.66666666666666696</v>
      </c>
      <c r="Z16" s="67">
        <f>(Grid_BD[[#This Row],[Work Completion time on fault]]-Grid_BD[[#This Row],[Fault Time]])*24</f>
        <v>0.66666666666666696</v>
      </c>
      <c r="AB16" s="7" t="s">
        <v>73</v>
      </c>
      <c r="AC16" s="67">
        <f>IFERROR(Grid_BD[[#This Row],[Plant Equivalent Weightage]]*Grid_BD[[#This Row],[Resolution Time]],"")</f>
        <v>0.66666666666666696</v>
      </c>
      <c r="AD16" s="7">
        <v>0.45</v>
      </c>
      <c r="AE16" s="111">
        <f>Grid_BD[[#This Row],[Lost PoA(kWh/m2)]]*Grid_BD[[#This Row],[DC Capacity Affected (kW)]]*_xlfn.XLOOKUP(Grid_BD[[#This Row],[Month Year]],'Modelling New'!$D:$D,'Modelling New'!$O:$O)</f>
        <v>2512.9266982488166</v>
      </c>
    </row>
    <row r="17" spans="1:31" x14ac:dyDescent="0.3">
      <c r="A17" s="7">
        <f t="shared" si="0"/>
        <v>16</v>
      </c>
      <c r="B17" s="203">
        <v>45781</v>
      </c>
      <c r="C17" s="101">
        <f>YEAR(Grid_BD[[#This Row],[Date]])+IF(MONTH(Grid_BD[[#This Row],[Date]])&gt;=4,1,0)</f>
        <v>2026</v>
      </c>
      <c r="D17" s="7">
        <f>YEAR(Grid_BD[[#This Row],[Date]])</f>
        <v>2025</v>
      </c>
      <c r="E17" s="204" t="s">
        <v>317</v>
      </c>
      <c r="F17" s="204" t="s">
        <v>317</v>
      </c>
      <c r="G17" s="205">
        <f>Grid_BD[[#This Row],[Date]]-DAY(Grid_BD[[#This Row],[Date]])+1</f>
        <v>45778</v>
      </c>
      <c r="H17" s="7">
        <f>DAY(EOMONTH(Grid_BD[[#This Row],[Month Year]],0))</f>
        <v>31</v>
      </c>
      <c r="I17" s="207">
        <f>_xlfn.XLOOKUP(Grid_BD[[#This Row],[Date]],'Raw Data'!$G:$G,'Raw Data'!$I:$I)</f>
        <v>0.24930555555555556</v>
      </c>
      <c r="J17" s="207">
        <f>_xlfn.XLOOKUP(Grid_BD[[#This Row],[Date]],'Raw Data'!$G:$G,'Raw Data'!$J:$J)</f>
        <v>0.77916666666666667</v>
      </c>
      <c r="K17" s="111">
        <f>IFERROR((Grid_BD[[#This Row],[Sunset Time (POA&lt;20 W/m2)]]-Grid_BD[[#This Row],[Sunrise Time (POA&gt;20 W/m2)]])*24,"")</f>
        <v>12.716666666666667</v>
      </c>
      <c r="L17" s="7" t="s">
        <v>292</v>
      </c>
      <c r="M17" s="67">
        <v>8020.9</v>
      </c>
      <c r="N17" s="208">
        <f>IFERROR(VLOOKUP(Grid_BD[[#This Row],[Affected Equipment ]],'Basic Data'!$A$2:$C$118,3,0),"")</f>
        <v>1</v>
      </c>
      <c r="O17" s="7" t="s">
        <v>293</v>
      </c>
      <c r="P17" s="7" t="s">
        <v>19</v>
      </c>
      <c r="R17" s="182" t="s">
        <v>1186</v>
      </c>
      <c r="S17" s="207">
        <v>0.51527777777777772</v>
      </c>
      <c r="V17" s="207">
        <v>0.76944444444444449</v>
      </c>
      <c r="Y17" s="111">
        <f>(Grid_BD[[#This Row],[Work Completion time on fault]]-Grid_BD[[#This Row],[Fault Time]])*24</f>
        <v>6.1000000000000023</v>
      </c>
      <c r="Z17" s="67">
        <f>(Grid_BD[[#This Row],[Work Completion time on fault]]-Grid_BD[[#This Row],[Fault Time]])*24</f>
        <v>6.1000000000000023</v>
      </c>
      <c r="AB17" s="7" t="s">
        <v>73</v>
      </c>
      <c r="AC17" s="67">
        <f>IFERROR(Grid_BD[[#This Row],[Plant Equivalent Weightage]]*Grid_BD[[#This Row],[Resolution Time]],"")</f>
        <v>6.1000000000000023</v>
      </c>
      <c r="AD17" s="7">
        <v>2.66</v>
      </c>
      <c r="AE17" s="111">
        <f>Grid_BD[[#This Row],[Lost PoA(kWh/m2)]]*Grid_BD[[#This Row],[DC Capacity Affected (kW)]]*_xlfn.XLOOKUP(Grid_BD[[#This Row],[Month Year]],'Modelling New'!$D:$D,'Modelling New'!$O:$O)</f>
        <v>14854.188927426339</v>
      </c>
    </row>
    <row r="18" spans="1:31" x14ac:dyDescent="0.3">
      <c r="A18" s="7">
        <f t="shared" si="0"/>
        <v>17</v>
      </c>
      <c r="B18" s="203">
        <v>45785</v>
      </c>
      <c r="C18" s="101">
        <f>YEAR(Grid_BD[[#This Row],[Date]])+IF(MONTH(Grid_BD[[#This Row],[Date]])&gt;=4,1,0)</f>
        <v>2026</v>
      </c>
      <c r="D18" s="7">
        <f>YEAR(Grid_BD[[#This Row],[Date]])</f>
        <v>2025</v>
      </c>
      <c r="E18" s="204" t="s">
        <v>317</v>
      </c>
      <c r="F18" s="204" t="s">
        <v>317</v>
      </c>
      <c r="G18" s="205">
        <f>Grid_BD[[#This Row],[Date]]-DAY(Grid_BD[[#This Row],[Date]])+1</f>
        <v>45778</v>
      </c>
      <c r="H18" s="7">
        <f>DAY(EOMONTH(Grid_BD[[#This Row],[Month Year]],0))</f>
        <v>31</v>
      </c>
      <c r="I18" s="207">
        <f>_xlfn.XLOOKUP(Grid_BD[[#This Row],[Date]],'Raw Data'!$G:$G,'Raw Data'!$I:$I)</f>
        <v>0.25138888888888888</v>
      </c>
      <c r="J18" s="207">
        <f>_xlfn.XLOOKUP(Grid_BD[[#This Row],[Date]],'Raw Data'!$G:$G,'Raw Data'!$J:$J)</f>
        <v>0.77013888888888893</v>
      </c>
      <c r="K18" s="111">
        <f>IFERROR((Grid_BD[[#This Row],[Sunset Time (POA&lt;20 W/m2)]]-Grid_BD[[#This Row],[Sunrise Time (POA&gt;20 W/m2)]])*24,"")</f>
        <v>12.450000000000001</v>
      </c>
      <c r="L18" s="7" t="s">
        <v>292</v>
      </c>
      <c r="M18" s="67">
        <v>8020.9</v>
      </c>
      <c r="N18" s="208">
        <f>IFERROR(VLOOKUP(Grid_BD[[#This Row],[Affected Equipment ]],'Basic Data'!$A$2:$C$118,3,0),"")</f>
        <v>1</v>
      </c>
      <c r="O18" s="7" t="s">
        <v>293</v>
      </c>
      <c r="P18" s="7" t="s">
        <v>19</v>
      </c>
      <c r="R18" s="182" t="s">
        <v>294</v>
      </c>
      <c r="S18" s="207">
        <v>0.43055555555555558</v>
      </c>
      <c r="V18" s="207">
        <v>0.43611111111111112</v>
      </c>
      <c r="Y18" s="111">
        <f>(Grid_BD[[#This Row],[Work Completion time on fault]]-Grid_BD[[#This Row],[Fault Time]])*24</f>
        <v>0.13333333333333286</v>
      </c>
      <c r="Z18" s="67">
        <f>(Grid_BD[[#This Row],[Work Completion time on fault]]-Grid_BD[[#This Row],[Fault Time]])*24</f>
        <v>0.13333333333333286</v>
      </c>
      <c r="AB18" s="7" t="s">
        <v>73</v>
      </c>
      <c r="AC18" s="67">
        <f>IFERROR(Grid_BD[[#This Row],[Plant Equivalent Weightage]]*Grid_BD[[#This Row],[Resolution Time]],"")</f>
        <v>0.13333333333333286</v>
      </c>
      <c r="AD18" s="7">
        <v>0.12</v>
      </c>
      <c r="AE18" s="111">
        <f>Grid_BD[[#This Row],[Lost PoA(kWh/m2)]]*Grid_BD[[#This Row],[DC Capacity Affected (kW)]]*_xlfn.XLOOKUP(Grid_BD[[#This Row],[Month Year]],'Modelling New'!$D:$D,'Modelling New'!$O:$O)</f>
        <v>670.11378619968434</v>
      </c>
    </row>
    <row r="19" spans="1:31" x14ac:dyDescent="0.3">
      <c r="A19" s="7">
        <f t="shared" si="0"/>
        <v>18</v>
      </c>
      <c r="B19" s="203">
        <v>45785</v>
      </c>
      <c r="C19" s="101">
        <f>YEAR(Grid_BD[[#This Row],[Date]])+IF(MONTH(Grid_BD[[#This Row],[Date]])&gt;=4,1,0)</f>
        <v>2026</v>
      </c>
      <c r="D19" s="7">
        <f>YEAR(Grid_BD[[#This Row],[Date]])</f>
        <v>2025</v>
      </c>
      <c r="E19" s="204" t="s">
        <v>317</v>
      </c>
      <c r="F19" s="204" t="s">
        <v>317</v>
      </c>
      <c r="G19" s="205">
        <f>Grid_BD[[#This Row],[Date]]-DAY(Grid_BD[[#This Row],[Date]])+1</f>
        <v>45778</v>
      </c>
      <c r="H19" s="7">
        <f>DAY(EOMONTH(Grid_BD[[#This Row],[Month Year]],0))</f>
        <v>31</v>
      </c>
      <c r="I19" s="207">
        <f>_xlfn.XLOOKUP(Grid_BD[[#This Row],[Date]],'Raw Data'!$G:$G,'Raw Data'!$I:$I)</f>
        <v>0.25138888888888888</v>
      </c>
      <c r="J19" s="207">
        <f>_xlfn.XLOOKUP(Grid_BD[[#This Row],[Date]],'Raw Data'!$G:$G,'Raw Data'!$J:$J)</f>
        <v>0.77013888888888893</v>
      </c>
      <c r="K19" s="111">
        <f>IFERROR((Grid_BD[[#This Row],[Sunset Time (POA&lt;20 W/m2)]]-Grid_BD[[#This Row],[Sunrise Time (POA&gt;20 W/m2)]])*24,"")</f>
        <v>12.450000000000001</v>
      </c>
      <c r="L19" s="7" t="s">
        <v>292</v>
      </c>
      <c r="M19" s="67">
        <v>8020.9</v>
      </c>
      <c r="N19" s="208">
        <f>IFERROR(VLOOKUP(Grid_BD[[#This Row],[Affected Equipment ]],'Basic Data'!$A$2:$C$118,3,0),"")</f>
        <v>1</v>
      </c>
      <c r="O19" s="7" t="s">
        <v>293</v>
      </c>
      <c r="P19" s="7" t="s">
        <v>19</v>
      </c>
      <c r="R19" s="182" t="s">
        <v>294</v>
      </c>
      <c r="S19" s="207">
        <v>0.74513888888888891</v>
      </c>
      <c r="V19" s="207">
        <v>0.74930555555555556</v>
      </c>
      <c r="Y19" s="111">
        <f>(Grid_BD[[#This Row],[Work Completion time on fault]]-Grid_BD[[#This Row],[Fault Time]])*24</f>
        <v>9.9999999999999645E-2</v>
      </c>
      <c r="Z19" s="67">
        <f>(Grid_BD[[#This Row],[Work Completion time on fault]]-Grid_BD[[#This Row],[Fault Time]])*24</f>
        <v>9.9999999999999645E-2</v>
      </c>
      <c r="AB19" s="7" t="s">
        <v>73</v>
      </c>
      <c r="AC19" s="67">
        <f>IFERROR(Grid_BD[[#This Row],[Plant Equivalent Weightage]]*Grid_BD[[#This Row],[Resolution Time]],"")</f>
        <v>9.9999999999999645E-2</v>
      </c>
      <c r="AD19" s="7">
        <v>8.0000000000000002E-3</v>
      </c>
      <c r="AE19" s="111">
        <f>Grid_BD[[#This Row],[Lost PoA(kWh/m2)]]*Grid_BD[[#This Row],[DC Capacity Affected (kW)]]*_xlfn.XLOOKUP(Grid_BD[[#This Row],[Month Year]],'Modelling New'!$D:$D,'Modelling New'!$O:$O)</f>
        <v>44.674252413312288</v>
      </c>
    </row>
    <row r="20" spans="1:31" x14ac:dyDescent="0.3">
      <c r="A20" s="7">
        <f t="shared" si="0"/>
        <v>19</v>
      </c>
      <c r="B20" s="203">
        <v>45791</v>
      </c>
      <c r="C20" s="101">
        <f>YEAR(Grid_BD[[#This Row],[Date]])+IF(MONTH(Grid_BD[[#This Row],[Date]])&gt;=4,1,0)</f>
        <v>2026</v>
      </c>
      <c r="D20" s="7">
        <f>YEAR(Grid_BD[[#This Row],[Date]])</f>
        <v>2025</v>
      </c>
      <c r="E20" s="204" t="s">
        <v>317</v>
      </c>
      <c r="F20" s="204" t="s">
        <v>317</v>
      </c>
      <c r="G20" s="205">
        <f>Grid_BD[[#This Row],[Date]]-DAY(Grid_BD[[#This Row],[Date]])+1</f>
        <v>45778</v>
      </c>
      <c r="H20" s="7">
        <f>DAY(EOMONTH(Grid_BD[[#This Row],[Month Year]],0))</f>
        <v>31</v>
      </c>
      <c r="I20" s="207">
        <f>_xlfn.XLOOKUP(Grid_BD[[#This Row],[Date]],'Raw Data'!$G:$G,'Raw Data'!$I:$I)</f>
        <v>0.24513888888888888</v>
      </c>
      <c r="J20" s="207">
        <f>_xlfn.XLOOKUP(Grid_BD[[#This Row],[Date]],'Raw Data'!$G:$G,'Raw Data'!$J:$J)</f>
        <v>0.75763888888888886</v>
      </c>
      <c r="K20" s="111">
        <f>IFERROR((Grid_BD[[#This Row],[Sunset Time (POA&lt;20 W/m2)]]-Grid_BD[[#This Row],[Sunrise Time (POA&gt;20 W/m2)]])*24,"")</f>
        <v>12.299999999999999</v>
      </c>
      <c r="L20" s="7" t="s">
        <v>292</v>
      </c>
      <c r="M20" s="67">
        <v>8020.9</v>
      </c>
      <c r="N20" s="208">
        <f>IFERROR(VLOOKUP(Grid_BD[[#This Row],[Affected Equipment ]],'Basic Data'!$A$2:$C$118,3,0),"")</f>
        <v>1</v>
      </c>
      <c r="O20" s="7" t="s">
        <v>293</v>
      </c>
      <c r="P20" s="7" t="s">
        <v>19</v>
      </c>
      <c r="R20" s="182" t="s">
        <v>294</v>
      </c>
      <c r="S20" s="207">
        <v>0.74583333333333335</v>
      </c>
      <c r="V20" s="207">
        <v>0.76736111111111116</v>
      </c>
      <c r="Y20" s="111">
        <f>(Grid_BD[[#This Row],[Work Completion time on fault]]-Grid_BD[[#This Row],[Fault Time]])*24</f>
        <v>0.5166666666666675</v>
      </c>
      <c r="Z20" s="67">
        <f>(Grid_BD[[#This Row],[Work Completion time on fault]]-Grid_BD[[#This Row],[Fault Time]])*24</f>
        <v>0.5166666666666675</v>
      </c>
      <c r="AB20" s="7" t="s">
        <v>73</v>
      </c>
      <c r="AC20" s="67">
        <f>IFERROR(Grid_BD[[#This Row],[Plant Equivalent Weightage]]*Grid_BD[[#This Row],[Resolution Time]],"")</f>
        <v>0.5166666666666675</v>
      </c>
      <c r="AD20" s="7">
        <v>5.9999999999999995E-4</v>
      </c>
      <c r="AE20" s="111">
        <f>Grid_BD[[#This Row],[Lost PoA(kWh/m2)]]*Grid_BD[[#This Row],[DC Capacity Affected (kW)]]*_xlfn.XLOOKUP(Grid_BD[[#This Row],[Month Year]],'Modelling New'!$D:$D,'Modelling New'!$O:$O)</f>
        <v>3.3505689309984219</v>
      </c>
    </row>
    <row r="21" spans="1:31" x14ac:dyDescent="0.3">
      <c r="A21" s="7">
        <f t="shared" si="0"/>
        <v>20</v>
      </c>
      <c r="B21" s="203">
        <v>45792</v>
      </c>
      <c r="C21" s="101">
        <f>YEAR(Grid_BD[[#This Row],[Date]])+IF(MONTH(Grid_BD[[#This Row],[Date]])&gt;=4,1,0)</f>
        <v>2026</v>
      </c>
      <c r="D21" s="7">
        <f>YEAR(Grid_BD[[#This Row],[Date]])</f>
        <v>2025</v>
      </c>
      <c r="E21" s="204" t="s">
        <v>317</v>
      </c>
      <c r="F21" s="204" t="s">
        <v>317</v>
      </c>
      <c r="G21" s="205">
        <f>Grid_BD[[#This Row],[Date]]-DAY(Grid_BD[[#This Row],[Date]])+1</f>
        <v>45778</v>
      </c>
      <c r="H21" s="7">
        <f>DAY(EOMONTH(Grid_BD[[#This Row],[Month Year]],0))</f>
        <v>31</v>
      </c>
      <c r="I21" s="207">
        <f>_xlfn.XLOOKUP(Grid_BD[[#This Row],[Date]],'Raw Data'!$G:$G,'Raw Data'!$I:$I)</f>
        <v>0.26874999999999999</v>
      </c>
      <c r="J21" s="207">
        <f>_xlfn.XLOOKUP(Grid_BD[[#This Row],[Date]],'Raw Data'!$G:$G,'Raw Data'!$J:$J)</f>
        <v>0.77708333333333335</v>
      </c>
      <c r="K21" s="111">
        <f>IFERROR((Grid_BD[[#This Row],[Sunset Time (POA&lt;20 W/m2)]]-Grid_BD[[#This Row],[Sunrise Time (POA&gt;20 W/m2)]])*24,"")</f>
        <v>12.2</v>
      </c>
      <c r="L21" s="7" t="s">
        <v>292</v>
      </c>
      <c r="M21" s="67">
        <v>8020.9</v>
      </c>
      <c r="N21" s="208">
        <f>IFERROR(VLOOKUP(Grid_BD[[#This Row],[Affected Equipment ]],'Basic Data'!$A$2:$C$118,3,0),"")</f>
        <v>1</v>
      </c>
      <c r="O21" s="7" t="s">
        <v>293</v>
      </c>
      <c r="P21" s="7" t="s">
        <v>19</v>
      </c>
      <c r="R21" s="182" t="s">
        <v>294</v>
      </c>
      <c r="S21" s="207">
        <v>0.59583333333333333</v>
      </c>
      <c r="V21" s="207">
        <v>0.6020833333333333</v>
      </c>
      <c r="Y21" s="111">
        <f>(Grid_BD[[#This Row],[Work Completion time on fault]]-Grid_BD[[#This Row],[Fault Time]])*24</f>
        <v>0.14999999999999947</v>
      </c>
      <c r="Z21" s="67">
        <f>(Grid_BD[[#This Row],[Work Completion time on fault]]-Grid_BD[[#This Row],[Fault Time]])*24</f>
        <v>0.14999999999999947</v>
      </c>
      <c r="AB21" s="7" t="s">
        <v>73</v>
      </c>
      <c r="AC21" s="67">
        <f>IFERROR(Grid_BD[[#This Row],[Plant Equivalent Weightage]]*Grid_BD[[#This Row],[Resolution Time]],"")</f>
        <v>0.14999999999999947</v>
      </c>
      <c r="AD21" s="7">
        <v>4.5999999999999999E-2</v>
      </c>
      <c r="AE21" s="111">
        <f>Grid_BD[[#This Row],[Lost PoA(kWh/m2)]]*Grid_BD[[#This Row],[DC Capacity Affected (kW)]]*_xlfn.XLOOKUP(Grid_BD[[#This Row],[Month Year]],'Modelling New'!$D:$D,'Modelling New'!$O:$O)</f>
        <v>256.87695137654566</v>
      </c>
    </row>
    <row r="22" spans="1:31" x14ac:dyDescent="0.3">
      <c r="A22" s="7">
        <f t="shared" si="0"/>
        <v>21</v>
      </c>
      <c r="B22" s="203">
        <v>45793</v>
      </c>
      <c r="C22" s="101">
        <f>YEAR(Grid_BD[[#This Row],[Date]])+IF(MONTH(Grid_BD[[#This Row],[Date]])&gt;=4,1,0)</f>
        <v>2026</v>
      </c>
      <c r="D22" s="7">
        <f>YEAR(Grid_BD[[#This Row],[Date]])</f>
        <v>2025</v>
      </c>
      <c r="E22" s="204" t="s">
        <v>317</v>
      </c>
      <c r="F22" s="204" t="s">
        <v>317</v>
      </c>
      <c r="G22" s="205">
        <f>Grid_BD[[#This Row],[Date]]-DAY(Grid_BD[[#This Row],[Date]])+1</f>
        <v>45778</v>
      </c>
      <c r="H22" s="7">
        <f>DAY(EOMONTH(Grid_BD[[#This Row],[Month Year]],0))</f>
        <v>31</v>
      </c>
      <c r="I22" s="207">
        <f>_xlfn.XLOOKUP(Grid_BD[[#This Row],[Date]],'Raw Data'!$G:$G,'Raw Data'!$I:$I)</f>
        <v>0.24374999999999999</v>
      </c>
      <c r="J22" s="207">
        <f>_xlfn.XLOOKUP(Grid_BD[[#This Row],[Date]],'Raw Data'!$G:$G,'Raw Data'!$J:$J)</f>
        <v>0.77916666666666667</v>
      </c>
      <c r="K22" s="111">
        <f>IFERROR((Grid_BD[[#This Row],[Sunset Time (POA&lt;20 W/m2)]]-Grid_BD[[#This Row],[Sunrise Time (POA&gt;20 W/m2)]])*24,"")</f>
        <v>12.85</v>
      </c>
      <c r="L22" s="7" t="s">
        <v>292</v>
      </c>
      <c r="M22" s="67">
        <v>8020.9</v>
      </c>
      <c r="N22" s="208">
        <f>IFERROR(VLOOKUP(Grid_BD[[#This Row],[Affected Equipment ]],'Basic Data'!$A$2:$C$118,3,0),"")</f>
        <v>1</v>
      </c>
      <c r="O22" s="7" t="s">
        <v>293</v>
      </c>
      <c r="P22" s="7" t="s">
        <v>19</v>
      </c>
      <c r="R22" s="182" t="s">
        <v>294</v>
      </c>
      <c r="S22" s="207">
        <v>0.40555555555555556</v>
      </c>
      <c r="V22" s="207">
        <v>0.41666666666666669</v>
      </c>
      <c r="Y22" s="111">
        <f>(Grid_BD[[#This Row],[Work Completion time on fault]]-Grid_BD[[#This Row],[Fault Time]])*24</f>
        <v>0.26666666666666705</v>
      </c>
      <c r="Z22" s="67">
        <f>(Grid_BD[[#This Row],[Work Completion time on fault]]-Grid_BD[[#This Row],[Fault Time]])*24</f>
        <v>0.26666666666666705</v>
      </c>
      <c r="AB22" s="7" t="s">
        <v>73</v>
      </c>
      <c r="AC22" s="67">
        <f>IFERROR(Grid_BD[[#This Row],[Plant Equivalent Weightage]]*Grid_BD[[#This Row],[Resolution Time]],"")</f>
        <v>0.26666666666666705</v>
      </c>
      <c r="AD22" s="7">
        <v>0.122</v>
      </c>
      <c r="AE22" s="111">
        <f>Grid_BD[[#This Row],[Lost PoA(kWh/m2)]]*Grid_BD[[#This Row],[DC Capacity Affected (kW)]]*_xlfn.XLOOKUP(Grid_BD[[#This Row],[Month Year]],'Modelling New'!$D:$D,'Modelling New'!$O:$O)</f>
        <v>681.28234930301244</v>
      </c>
    </row>
    <row r="23" spans="1:31" x14ac:dyDescent="0.3">
      <c r="A23" s="7">
        <f t="shared" si="0"/>
        <v>22</v>
      </c>
      <c r="B23" s="203">
        <v>45793</v>
      </c>
      <c r="C23" s="101">
        <f>YEAR(Grid_BD[[#This Row],[Date]])+IF(MONTH(Grid_BD[[#This Row],[Date]])&gt;=4,1,0)</f>
        <v>2026</v>
      </c>
      <c r="D23" s="7">
        <f>YEAR(Grid_BD[[#This Row],[Date]])</f>
        <v>2025</v>
      </c>
      <c r="E23" s="204" t="s">
        <v>317</v>
      </c>
      <c r="F23" s="204" t="s">
        <v>317</v>
      </c>
      <c r="G23" s="205">
        <f>Grid_BD[[#This Row],[Date]]-DAY(Grid_BD[[#This Row],[Date]])+1</f>
        <v>45778</v>
      </c>
      <c r="H23" s="7">
        <f>DAY(EOMONTH(Grid_BD[[#This Row],[Month Year]],0))</f>
        <v>31</v>
      </c>
      <c r="I23" s="207">
        <f>_xlfn.XLOOKUP(Grid_BD[[#This Row],[Date]],'Raw Data'!$G:$G,'Raw Data'!$I:$I)</f>
        <v>0.24374999999999999</v>
      </c>
      <c r="J23" s="207">
        <f>_xlfn.XLOOKUP(Grid_BD[[#This Row],[Date]],'Raw Data'!$G:$G,'Raw Data'!$J:$J)</f>
        <v>0.77916666666666667</v>
      </c>
      <c r="K23" s="111">
        <f>IFERROR((Grid_BD[[#This Row],[Sunset Time (POA&lt;20 W/m2)]]-Grid_BD[[#This Row],[Sunrise Time (POA&gt;20 W/m2)]])*24,"")</f>
        <v>12.85</v>
      </c>
      <c r="L23" s="7" t="s">
        <v>292</v>
      </c>
      <c r="M23" s="67">
        <v>8020.9</v>
      </c>
      <c r="N23" s="208">
        <f>IFERROR(VLOOKUP(Grid_BD[[#This Row],[Affected Equipment ]],'Basic Data'!$A$2:$C$118,3,0),"")</f>
        <v>1</v>
      </c>
      <c r="O23" s="7" t="s">
        <v>293</v>
      </c>
      <c r="P23" s="7" t="s">
        <v>19</v>
      </c>
      <c r="R23" s="182" t="s">
        <v>294</v>
      </c>
      <c r="S23" s="207">
        <v>0.63472222222222219</v>
      </c>
      <c r="V23" s="207">
        <v>0.63958333333333328</v>
      </c>
      <c r="Y23" s="111">
        <f>(Grid_BD[[#This Row],[Work Completion time on fault]]-Grid_BD[[#This Row],[Fault Time]])*24</f>
        <v>0.11666666666666625</v>
      </c>
      <c r="Z23" s="67">
        <f>(Grid_BD[[#This Row],[Work Completion time on fault]]-Grid_BD[[#This Row],[Fault Time]])*24</f>
        <v>0.11666666666666625</v>
      </c>
      <c r="AB23" s="7" t="s">
        <v>73</v>
      </c>
      <c r="AC23" s="67">
        <f>IFERROR(Grid_BD[[#This Row],[Plant Equivalent Weightage]]*Grid_BD[[#This Row],[Resolution Time]],"")</f>
        <v>0.11666666666666625</v>
      </c>
      <c r="AD23" s="7">
        <v>7.0000000000000007E-2</v>
      </c>
      <c r="AE23" s="111">
        <f>Grid_BD[[#This Row],[Lost PoA(kWh/m2)]]*Grid_BD[[#This Row],[DC Capacity Affected (kW)]]*_xlfn.XLOOKUP(Grid_BD[[#This Row],[Month Year]],'Modelling New'!$D:$D,'Modelling New'!$O:$O)</f>
        <v>390.89970861648266</v>
      </c>
    </row>
    <row r="24" spans="1:31" x14ac:dyDescent="0.3">
      <c r="A24" s="7">
        <f t="shared" si="0"/>
        <v>23</v>
      </c>
      <c r="B24" s="203">
        <v>45794</v>
      </c>
      <c r="C24" s="101">
        <f>YEAR(Grid_BD[[#This Row],[Date]])+IF(MONTH(Grid_BD[[#This Row],[Date]])&gt;=4,1,0)</f>
        <v>2026</v>
      </c>
      <c r="D24" s="7">
        <f>YEAR(Grid_BD[[#This Row],[Date]])</f>
        <v>2025</v>
      </c>
      <c r="E24" s="204" t="s">
        <v>317</v>
      </c>
      <c r="F24" s="204" t="s">
        <v>317</v>
      </c>
      <c r="G24" s="205">
        <f>Grid_BD[[#This Row],[Date]]-DAY(Grid_BD[[#This Row],[Date]])+1</f>
        <v>45778</v>
      </c>
      <c r="H24" s="7">
        <f>DAY(EOMONTH(Grid_BD[[#This Row],[Month Year]],0))</f>
        <v>31</v>
      </c>
      <c r="I24" s="207">
        <f>_xlfn.XLOOKUP(Grid_BD[[#This Row],[Date]],'Raw Data'!$G:$G,'Raw Data'!$I:$I)</f>
        <v>0.24305555555555555</v>
      </c>
      <c r="J24" s="207">
        <f>_xlfn.XLOOKUP(Grid_BD[[#This Row],[Date]],'Raw Data'!$G:$G,'Raw Data'!$J:$J)</f>
        <v>0.77638888888888891</v>
      </c>
      <c r="K24" s="111">
        <f>IFERROR((Grid_BD[[#This Row],[Sunset Time (POA&lt;20 W/m2)]]-Grid_BD[[#This Row],[Sunrise Time (POA&gt;20 W/m2)]])*24,"")</f>
        <v>12.8</v>
      </c>
      <c r="L24" s="7" t="s">
        <v>292</v>
      </c>
      <c r="M24" s="67">
        <v>8020.9</v>
      </c>
      <c r="N24" s="208">
        <f>IFERROR(VLOOKUP(Grid_BD[[#This Row],[Affected Equipment ]],'Basic Data'!$A$2:$C$118,3,0),"")</f>
        <v>1</v>
      </c>
      <c r="O24" s="7" t="s">
        <v>293</v>
      </c>
      <c r="P24" s="7" t="s">
        <v>19</v>
      </c>
      <c r="R24" s="182" t="s">
        <v>294</v>
      </c>
      <c r="S24" s="207">
        <v>0.24652777777777779</v>
      </c>
      <c r="V24" s="207">
        <v>0.31319444444444444</v>
      </c>
      <c r="Y24" s="111">
        <f>(Grid_BD[[#This Row],[Work Completion time on fault]]-Grid_BD[[#This Row],[Fault Time]])*24</f>
        <v>1.5999999999999996</v>
      </c>
      <c r="Z24" s="67">
        <f>(Grid_BD[[#This Row],[Work Completion time on fault]]-Grid_BD[[#This Row],[Fault Time]])*24</f>
        <v>1.5999999999999996</v>
      </c>
      <c r="AB24" s="7" t="s">
        <v>73</v>
      </c>
      <c r="AC24" s="67">
        <f>IFERROR(Grid_BD[[#This Row],[Plant Equivalent Weightage]]*Grid_BD[[#This Row],[Resolution Time]],"")</f>
        <v>1.5999999999999996</v>
      </c>
      <c r="AD24" s="7">
        <v>0.12</v>
      </c>
      <c r="AE24" s="111">
        <f>Grid_BD[[#This Row],[Lost PoA(kWh/m2)]]*Grid_BD[[#This Row],[DC Capacity Affected (kW)]]*_xlfn.XLOOKUP(Grid_BD[[#This Row],[Month Year]],'Modelling New'!$D:$D,'Modelling New'!$O:$O)</f>
        <v>670.11378619968434</v>
      </c>
    </row>
    <row r="25" spans="1:31" x14ac:dyDescent="0.3">
      <c r="A25" s="7">
        <f t="shared" si="0"/>
        <v>24</v>
      </c>
      <c r="B25" s="203">
        <v>45794</v>
      </c>
      <c r="C25" s="101">
        <f>YEAR(Grid_BD[[#This Row],[Date]])+IF(MONTH(Grid_BD[[#This Row],[Date]])&gt;=4,1,0)</f>
        <v>2026</v>
      </c>
      <c r="D25" s="7">
        <f>YEAR(Grid_BD[[#This Row],[Date]])</f>
        <v>2025</v>
      </c>
      <c r="E25" s="204" t="s">
        <v>317</v>
      </c>
      <c r="F25" s="204" t="s">
        <v>317</v>
      </c>
      <c r="G25" s="205">
        <f>Grid_BD[[#This Row],[Date]]-DAY(Grid_BD[[#This Row],[Date]])+1</f>
        <v>45778</v>
      </c>
      <c r="H25" s="7">
        <f>DAY(EOMONTH(Grid_BD[[#This Row],[Month Year]],0))</f>
        <v>31</v>
      </c>
      <c r="I25" s="207">
        <f>_xlfn.XLOOKUP(Grid_BD[[#This Row],[Date]],'Raw Data'!$G:$G,'Raw Data'!$I:$I)</f>
        <v>0.24305555555555555</v>
      </c>
      <c r="J25" s="207">
        <f>_xlfn.XLOOKUP(Grid_BD[[#This Row],[Date]],'Raw Data'!$G:$G,'Raw Data'!$J:$J)</f>
        <v>0.77638888888888891</v>
      </c>
      <c r="K25" s="111">
        <f>IFERROR((Grid_BD[[#This Row],[Sunset Time (POA&lt;20 W/m2)]]-Grid_BD[[#This Row],[Sunrise Time (POA&gt;20 W/m2)]])*24,"")</f>
        <v>12.8</v>
      </c>
      <c r="L25" s="7" t="s">
        <v>292</v>
      </c>
      <c r="M25" s="67">
        <v>8020.9</v>
      </c>
      <c r="N25" s="208">
        <f>IFERROR(VLOOKUP(Grid_BD[[#This Row],[Affected Equipment ]],'Basic Data'!$A$2:$C$118,3,0),"")</f>
        <v>1</v>
      </c>
      <c r="O25" s="7" t="s">
        <v>293</v>
      </c>
      <c r="P25" s="7" t="s">
        <v>19</v>
      </c>
      <c r="R25" s="182" t="s">
        <v>294</v>
      </c>
      <c r="S25" s="207">
        <v>0.34027777777777779</v>
      </c>
      <c r="V25" s="207">
        <v>0.34375</v>
      </c>
      <c r="Y25" s="111">
        <f>(Grid_BD[[#This Row],[Work Completion time on fault]]-Grid_BD[[#This Row],[Fault Time]])*24</f>
        <v>8.3333333333333037E-2</v>
      </c>
      <c r="Z25" s="67">
        <f>(Grid_BD[[#This Row],[Work Completion time on fault]]-Grid_BD[[#This Row],[Fault Time]])*24</f>
        <v>8.3333333333333037E-2</v>
      </c>
      <c r="AB25" s="7" t="s">
        <v>73</v>
      </c>
      <c r="AC25" s="67">
        <f>IFERROR(Grid_BD[[#This Row],[Plant Equivalent Weightage]]*Grid_BD[[#This Row],[Resolution Time]],"")</f>
        <v>8.3333333333333037E-2</v>
      </c>
      <c r="AD25" s="7">
        <v>0.02</v>
      </c>
      <c r="AE25" s="111">
        <f>Grid_BD[[#This Row],[Lost PoA(kWh/m2)]]*Grid_BD[[#This Row],[DC Capacity Affected (kW)]]*_xlfn.XLOOKUP(Grid_BD[[#This Row],[Month Year]],'Modelling New'!$D:$D,'Modelling New'!$O:$O)</f>
        <v>111.68563103328074</v>
      </c>
    </row>
    <row r="26" spans="1:31" x14ac:dyDescent="0.3">
      <c r="A26" s="7">
        <f t="shared" si="0"/>
        <v>25</v>
      </c>
      <c r="B26" s="203">
        <v>45795</v>
      </c>
      <c r="C26" s="101">
        <f>YEAR(Grid_BD[[#This Row],[Date]])+IF(MONTH(Grid_BD[[#This Row],[Date]])&gt;=4,1,0)</f>
        <v>2026</v>
      </c>
      <c r="D26" s="7">
        <f>YEAR(Grid_BD[[#This Row],[Date]])</f>
        <v>2025</v>
      </c>
      <c r="E26" s="204" t="s">
        <v>317</v>
      </c>
      <c r="F26" s="204" t="s">
        <v>317</v>
      </c>
      <c r="G26" s="205">
        <f>Grid_BD[[#This Row],[Date]]-DAY(Grid_BD[[#This Row],[Date]])+1</f>
        <v>45778</v>
      </c>
      <c r="H26" s="7">
        <f>DAY(EOMONTH(Grid_BD[[#This Row],[Month Year]],0))</f>
        <v>31</v>
      </c>
      <c r="I26" s="207">
        <f>_xlfn.XLOOKUP(Grid_BD[[#This Row],[Date]],'Raw Data'!$G:$G,'Raw Data'!$I:$I)</f>
        <v>0.25069444444444444</v>
      </c>
      <c r="J26" s="207">
        <f>_xlfn.XLOOKUP(Grid_BD[[#This Row],[Date]],'Raw Data'!$G:$G,'Raw Data'!$J:$J)</f>
        <v>0.77777777777777779</v>
      </c>
      <c r="K26" s="111">
        <f>IFERROR((Grid_BD[[#This Row],[Sunset Time (POA&lt;20 W/m2)]]-Grid_BD[[#This Row],[Sunrise Time (POA&gt;20 W/m2)]])*24,"")</f>
        <v>12.65</v>
      </c>
      <c r="L26" s="7" t="s">
        <v>292</v>
      </c>
      <c r="M26" s="67">
        <v>8020.9</v>
      </c>
      <c r="N26" s="208">
        <f>IFERROR(VLOOKUP(Grid_BD[[#This Row],[Affected Equipment ]],'Basic Data'!$A$2:$C$118,3,0),"")</f>
        <v>1</v>
      </c>
      <c r="O26" s="7" t="s">
        <v>293</v>
      </c>
      <c r="P26" s="7" t="s">
        <v>19</v>
      </c>
      <c r="R26" s="182" t="s">
        <v>294</v>
      </c>
      <c r="S26" s="207">
        <v>0.37638888888888888</v>
      </c>
      <c r="V26" s="207">
        <v>0.44097222222222221</v>
      </c>
      <c r="Y26" s="111">
        <f>(Grid_BD[[#This Row],[Work Completion time on fault]]-Grid_BD[[#This Row],[Fault Time]])*24</f>
        <v>1.5499999999999998</v>
      </c>
      <c r="Z26" s="67">
        <f>(Grid_BD[[#This Row],[Work Completion time on fault]]-Grid_BD[[#This Row],[Fault Time]])*24</f>
        <v>1.5499999999999998</v>
      </c>
      <c r="AB26" s="7" t="s">
        <v>73</v>
      </c>
      <c r="AC26" s="67">
        <f>IFERROR(Grid_BD[[#This Row],[Plant Equivalent Weightage]]*Grid_BD[[#This Row],[Resolution Time]],"")</f>
        <v>1.5499999999999998</v>
      </c>
      <c r="AD26" s="7">
        <v>1.02</v>
      </c>
      <c r="AE26" s="111">
        <f>Grid_BD[[#This Row],[Lost PoA(kWh/m2)]]*Grid_BD[[#This Row],[DC Capacity Affected (kW)]]*_xlfn.XLOOKUP(Grid_BD[[#This Row],[Month Year]],'Modelling New'!$D:$D,'Modelling New'!$O:$O)</f>
        <v>5695.9671826973181</v>
      </c>
    </row>
    <row r="27" spans="1:31" x14ac:dyDescent="0.3">
      <c r="A27" s="7">
        <f t="shared" si="0"/>
        <v>26</v>
      </c>
      <c r="B27" s="203">
        <v>45795</v>
      </c>
      <c r="C27" s="101">
        <f>YEAR(Grid_BD[[#This Row],[Date]])+IF(MONTH(Grid_BD[[#This Row],[Date]])&gt;=4,1,0)</f>
        <v>2026</v>
      </c>
      <c r="D27" s="7">
        <f>YEAR(Grid_BD[[#This Row],[Date]])</f>
        <v>2025</v>
      </c>
      <c r="E27" s="204" t="s">
        <v>317</v>
      </c>
      <c r="F27" s="204" t="s">
        <v>317</v>
      </c>
      <c r="G27" s="205">
        <f>Grid_BD[[#This Row],[Date]]-DAY(Grid_BD[[#This Row],[Date]])+1</f>
        <v>45778</v>
      </c>
      <c r="H27" s="7">
        <f>DAY(EOMONTH(Grid_BD[[#This Row],[Month Year]],0))</f>
        <v>31</v>
      </c>
      <c r="I27" s="207">
        <f>_xlfn.XLOOKUP(Grid_BD[[#This Row],[Date]],'Raw Data'!$G:$G,'Raw Data'!$I:$I)</f>
        <v>0.25069444444444444</v>
      </c>
      <c r="J27" s="207">
        <f>_xlfn.XLOOKUP(Grid_BD[[#This Row],[Date]],'Raw Data'!$G:$G,'Raw Data'!$J:$J)</f>
        <v>0.77777777777777779</v>
      </c>
      <c r="K27" s="111">
        <f>IFERROR((Grid_BD[[#This Row],[Sunset Time (POA&lt;20 W/m2)]]-Grid_BD[[#This Row],[Sunrise Time (POA&gt;20 W/m2)]])*24,"")</f>
        <v>12.65</v>
      </c>
      <c r="L27" s="7" t="s">
        <v>292</v>
      </c>
      <c r="M27" s="67">
        <v>8020.9</v>
      </c>
      <c r="N27" s="208">
        <f>IFERROR(VLOOKUP(Grid_BD[[#This Row],[Affected Equipment ]],'Basic Data'!$A$2:$C$118,3,0),"")</f>
        <v>1</v>
      </c>
      <c r="O27" s="7" t="s">
        <v>293</v>
      </c>
      <c r="P27" s="7" t="s">
        <v>19</v>
      </c>
      <c r="R27" s="182" t="s">
        <v>294</v>
      </c>
      <c r="S27" s="207">
        <v>0.56458333333333333</v>
      </c>
      <c r="V27" s="207">
        <v>0.59027777777777779</v>
      </c>
      <c r="Y27" s="111">
        <f>(Grid_BD[[#This Row],[Work Completion time on fault]]-Grid_BD[[#This Row],[Fault Time]])*24</f>
        <v>0.61666666666666714</v>
      </c>
      <c r="Z27" s="67">
        <f>(Grid_BD[[#This Row],[Work Completion time on fault]]-Grid_BD[[#This Row],[Fault Time]])*24</f>
        <v>0.61666666666666714</v>
      </c>
      <c r="AB27" s="7" t="s">
        <v>73</v>
      </c>
      <c r="AC27" s="67">
        <f>IFERROR(Grid_BD[[#This Row],[Plant Equivalent Weightage]]*Grid_BD[[#This Row],[Resolution Time]],"")</f>
        <v>0.61666666666666714</v>
      </c>
      <c r="AD27" s="7">
        <v>0.48</v>
      </c>
      <c r="AE27" s="111">
        <f>Grid_BD[[#This Row],[Lost PoA(kWh/m2)]]*Grid_BD[[#This Row],[DC Capacity Affected (kW)]]*_xlfn.XLOOKUP(Grid_BD[[#This Row],[Month Year]],'Modelling New'!$D:$D,'Modelling New'!$O:$O)</f>
        <v>2680.4551447987374</v>
      </c>
    </row>
    <row r="28" spans="1:31" x14ac:dyDescent="0.3">
      <c r="A28" s="7">
        <f t="shared" si="0"/>
        <v>27</v>
      </c>
      <c r="B28" s="203">
        <v>45795</v>
      </c>
      <c r="C28" s="101">
        <f>YEAR(Grid_BD[[#This Row],[Date]])+IF(MONTH(Grid_BD[[#This Row],[Date]])&gt;=4,1,0)</f>
        <v>2026</v>
      </c>
      <c r="D28" s="7">
        <f>YEAR(Grid_BD[[#This Row],[Date]])</f>
        <v>2025</v>
      </c>
      <c r="E28" s="204" t="s">
        <v>317</v>
      </c>
      <c r="F28" s="204" t="s">
        <v>317</v>
      </c>
      <c r="G28" s="205">
        <f>Grid_BD[[#This Row],[Date]]-DAY(Grid_BD[[#This Row],[Date]])+1</f>
        <v>45778</v>
      </c>
      <c r="H28" s="7">
        <f>DAY(EOMONTH(Grid_BD[[#This Row],[Month Year]],0))</f>
        <v>31</v>
      </c>
      <c r="I28" s="207">
        <f>_xlfn.XLOOKUP(Grid_BD[[#This Row],[Date]],'Raw Data'!$G:$G,'Raw Data'!$I:$I)</f>
        <v>0.25069444444444444</v>
      </c>
      <c r="J28" s="207">
        <f>_xlfn.XLOOKUP(Grid_BD[[#This Row],[Date]],'Raw Data'!$G:$G,'Raw Data'!$J:$J)</f>
        <v>0.77777777777777779</v>
      </c>
      <c r="K28" s="111">
        <f>IFERROR((Grid_BD[[#This Row],[Sunset Time (POA&lt;20 W/m2)]]-Grid_BD[[#This Row],[Sunrise Time (POA&gt;20 W/m2)]])*24,"")</f>
        <v>12.65</v>
      </c>
      <c r="L28" s="7" t="s">
        <v>292</v>
      </c>
      <c r="M28" s="67">
        <v>8020.9</v>
      </c>
      <c r="N28" s="208">
        <f>IFERROR(VLOOKUP(Grid_BD[[#This Row],[Affected Equipment ]],'Basic Data'!$A$2:$C$118,3,0),"")</f>
        <v>1</v>
      </c>
      <c r="O28" s="7" t="s">
        <v>293</v>
      </c>
      <c r="P28" s="7" t="s">
        <v>19</v>
      </c>
      <c r="R28" s="182" t="s">
        <v>294</v>
      </c>
      <c r="S28" s="207">
        <v>0.61944444444444446</v>
      </c>
      <c r="V28" s="207">
        <v>0.64444444444444449</v>
      </c>
      <c r="Y28" s="111">
        <f>(Grid_BD[[#This Row],[Work Completion time on fault]]-Grid_BD[[#This Row],[Fault Time]])*24</f>
        <v>0.60000000000000053</v>
      </c>
      <c r="Z28" s="67">
        <f>(Grid_BD[[#This Row],[Work Completion time on fault]]-Grid_BD[[#This Row],[Fault Time]])*24</f>
        <v>0.60000000000000053</v>
      </c>
      <c r="AB28" s="7" t="s">
        <v>73</v>
      </c>
      <c r="AC28" s="67">
        <f>IFERROR(Grid_BD[[#This Row],[Plant Equivalent Weightage]]*Grid_BD[[#This Row],[Resolution Time]],"")</f>
        <v>0.60000000000000053</v>
      </c>
      <c r="AD28" s="7">
        <v>0.34</v>
      </c>
      <c r="AE28" s="111">
        <f>Grid_BD[[#This Row],[Lost PoA(kWh/m2)]]*Grid_BD[[#This Row],[DC Capacity Affected (kW)]]*_xlfn.XLOOKUP(Grid_BD[[#This Row],[Month Year]],'Modelling New'!$D:$D,'Modelling New'!$O:$O)</f>
        <v>1898.6557275657726</v>
      </c>
    </row>
    <row r="29" spans="1:31" x14ac:dyDescent="0.3">
      <c r="A29" s="7">
        <f t="shared" si="0"/>
        <v>28</v>
      </c>
      <c r="B29" s="203">
        <v>45796</v>
      </c>
      <c r="C29" s="101">
        <f>YEAR(Grid_BD[[#This Row],[Date]])+IF(MONTH(Grid_BD[[#This Row],[Date]])&gt;=4,1,0)</f>
        <v>2026</v>
      </c>
      <c r="D29" s="7">
        <f>YEAR(Grid_BD[[#This Row],[Date]])</f>
        <v>2025</v>
      </c>
      <c r="E29" s="204" t="s">
        <v>317</v>
      </c>
      <c r="F29" s="204" t="s">
        <v>317</v>
      </c>
      <c r="G29" s="205">
        <f>Grid_BD[[#This Row],[Date]]-DAY(Grid_BD[[#This Row],[Date]])+1</f>
        <v>45778</v>
      </c>
      <c r="H29" s="7">
        <f>DAY(EOMONTH(Grid_BD[[#This Row],[Month Year]],0))</f>
        <v>31</v>
      </c>
      <c r="I29" s="207">
        <f>_xlfn.XLOOKUP(Grid_BD[[#This Row],[Date]],'Raw Data'!$G:$G,'Raw Data'!$I:$I)</f>
        <v>0.25</v>
      </c>
      <c r="J29" s="207">
        <f>_xlfn.XLOOKUP(Grid_BD[[#This Row],[Date]],'Raw Data'!$G:$G,'Raw Data'!$J:$J)</f>
        <v>0.78333333333333333</v>
      </c>
      <c r="K29" s="111">
        <f>IFERROR((Grid_BD[[#This Row],[Sunset Time (POA&lt;20 W/m2)]]-Grid_BD[[#This Row],[Sunrise Time (POA&gt;20 W/m2)]])*24,"")</f>
        <v>12.8</v>
      </c>
      <c r="L29" s="7" t="s">
        <v>292</v>
      </c>
      <c r="M29" s="67">
        <v>8020.9</v>
      </c>
      <c r="N29" s="208">
        <f>IFERROR(VLOOKUP(Grid_BD[[#This Row],[Affected Equipment ]],'Basic Data'!$A$2:$C$118,3,0),"")</f>
        <v>1</v>
      </c>
      <c r="O29" s="7" t="s">
        <v>293</v>
      </c>
      <c r="P29" s="7" t="s">
        <v>19</v>
      </c>
      <c r="R29" s="182" t="s">
        <v>294</v>
      </c>
      <c r="S29" s="207">
        <v>0.52361111111111114</v>
      </c>
      <c r="V29" s="207">
        <v>0.55138888888888893</v>
      </c>
      <c r="Y29" s="111">
        <f>(Grid_BD[[#This Row],[Work Completion time on fault]]-Grid_BD[[#This Row],[Fault Time]])*24</f>
        <v>0.66666666666666696</v>
      </c>
      <c r="Z29" s="67">
        <f>(Grid_BD[[#This Row],[Work Completion time on fault]]-Grid_BD[[#This Row],[Fault Time]])*24</f>
        <v>0.66666666666666696</v>
      </c>
      <c r="AB29" s="7" t="s">
        <v>73</v>
      </c>
      <c r="AC29" s="67">
        <f>IFERROR(Grid_BD[[#This Row],[Plant Equivalent Weightage]]*Grid_BD[[#This Row],[Resolution Time]],"")</f>
        <v>0.66666666666666696</v>
      </c>
      <c r="AD29" s="7">
        <v>0.378</v>
      </c>
      <c r="AE29" s="111">
        <f>Grid_BD[[#This Row],[Lost PoA(kWh/m2)]]*Grid_BD[[#This Row],[DC Capacity Affected (kW)]]*_xlfn.XLOOKUP(Grid_BD[[#This Row],[Month Year]],'Modelling New'!$D:$D,'Modelling New'!$O:$O)</f>
        <v>2110.858426529006</v>
      </c>
    </row>
    <row r="30" spans="1:31" x14ac:dyDescent="0.3">
      <c r="A30" s="7">
        <f t="shared" si="0"/>
        <v>29</v>
      </c>
      <c r="B30" s="203">
        <v>45798</v>
      </c>
      <c r="C30" s="101">
        <f>YEAR(Grid_BD[[#This Row],[Date]])+IF(MONTH(Grid_BD[[#This Row],[Date]])&gt;=4,1,0)</f>
        <v>2026</v>
      </c>
      <c r="D30" s="7">
        <f>YEAR(Grid_BD[[#This Row],[Date]])</f>
        <v>2025</v>
      </c>
      <c r="E30" s="204" t="s">
        <v>317</v>
      </c>
      <c r="F30" s="204" t="s">
        <v>317</v>
      </c>
      <c r="G30" s="205">
        <f>Grid_BD[[#This Row],[Date]]-DAY(Grid_BD[[#This Row],[Date]])+1</f>
        <v>45778</v>
      </c>
      <c r="H30" s="7">
        <f>DAY(EOMONTH(Grid_BD[[#This Row],[Month Year]],0))</f>
        <v>31</v>
      </c>
      <c r="I30" s="207">
        <f>_xlfn.XLOOKUP(Grid_BD[[#This Row],[Date]],'Raw Data'!$G:$G,'Raw Data'!$I:$I)</f>
        <v>0.24305555555555555</v>
      </c>
      <c r="J30" s="207">
        <f>_xlfn.XLOOKUP(Grid_BD[[#This Row],[Date]],'Raw Data'!$G:$G,'Raw Data'!$J:$J)</f>
        <v>0.77777777777777779</v>
      </c>
      <c r="K30" s="111">
        <f>IFERROR((Grid_BD[[#This Row],[Sunset Time (POA&lt;20 W/m2)]]-Grid_BD[[#This Row],[Sunrise Time (POA&gt;20 W/m2)]])*24,"")</f>
        <v>12.833333333333332</v>
      </c>
      <c r="L30" s="7" t="s">
        <v>292</v>
      </c>
      <c r="M30" s="67">
        <v>8020.9</v>
      </c>
      <c r="N30" s="208">
        <f>IFERROR(VLOOKUP(Grid_BD[[#This Row],[Affected Equipment ]],'Basic Data'!$A$2:$C$118,3,0),"")</f>
        <v>1</v>
      </c>
      <c r="O30" s="7" t="s">
        <v>293</v>
      </c>
      <c r="P30" s="7" t="s">
        <v>19</v>
      </c>
      <c r="R30" s="182" t="s">
        <v>294</v>
      </c>
      <c r="S30" s="207">
        <v>0.61388888888888893</v>
      </c>
      <c r="V30" s="207">
        <v>0.7416666666666667</v>
      </c>
      <c r="Y30" s="111">
        <f>(Grid_BD[[#This Row],[Work Completion time on fault]]-Grid_BD[[#This Row],[Fault Time]])*24</f>
        <v>3.0666666666666664</v>
      </c>
      <c r="Z30" s="67">
        <f>(Grid_BD[[#This Row],[Work Completion time on fault]]-Grid_BD[[#This Row],[Fault Time]])*24</f>
        <v>3.0666666666666664</v>
      </c>
      <c r="AB30" s="7" t="s">
        <v>73</v>
      </c>
      <c r="AC30" s="67">
        <f>IFERROR(Grid_BD[[#This Row],[Plant Equivalent Weightage]]*Grid_BD[[#This Row],[Resolution Time]],"")</f>
        <v>3.0666666666666664</v>
      </c>
      <c r="AD30" s="7">
        <v>5.5E-2</v>
      </c>
      <c r="AE30" s="111">
        <f>Grid_BD[[#This Row],[Lost PoA(kWh/m2)]]*Grid_BD[[#This Row],[DC Capacity Affected (kW)]]*_xlfn.XLOOKUP(Grid_BD[[#This Row],[Month Year]],'Modelling New'!$D:$D,'Modelling New'!$O:$O)</f>
        <v>307.13548534152204</v>
      </c>
    </row>
    <row r="31" spans="1:31" x14ac:dyDescent="0.3">
      <c r="A31" s="7">
        <f t="shared" si="0"/>
        <v>30</v>
      </c>
      <c r="B31" s="203">
        <v>45799</v>
      </c>
      <c r="C31" s="101">
        <f>YEAR(Grid_BD[[#This Row],[Date]])+IF(MONTH(Grid_BD[[#This Row],[Date]])&gt;=4,1,0)</f>
        <v>2026</v>
      </c>
      <c r="D31" s="7">
        <f>YEAR(Grid_BD[[#This Row],[Date]])</f>
        <v>2025</v>
      </c>
      <c r="E31" s="204" t="s">
        <v>317</v>
      </c>
      <c r="F31" s="204" t="s">
        <v>317</v>
      </c>
      <c r="G31" s="205">
        <f>Grid_BD[[#This Row],[Date]]-DAY(Grid_BD[[#This Row],[Date]])+1</f>
        <v>45778</v>
      </c>
      <c r="H31" s="7">
        <f>DAY(EOMONTH(Grid_BD[[#This Row],[Month Year]],0))</f>
        <v>31</v>
      </c>
      <c r="I31" s="207">
        <f>_xlfn.XLOOKUP(Grid_BD[[#This Row],[Date]],'Raw Data'!$G:$G,'Raw Data'!$I:$I)</f>
        <v>0.24374999999999999</v>
      </c>
      <c r="J31" s="207">
        <f>_xlfn.XLOOKUP(Grid_BD[[#This Row],[Date]],'Raw Data'!$G:$G,'Raw Data'!$J:$J)</f>
        <v>0.76597222222222228</v>
      </c>
      <c r="K31" s="111">
        <f>IFERROR((Grid_BD[[#This Row],[Sunset Time (POA&lt;20 W/m2)]]-Grid_BD[[#This Row],[Sunrise Time (POA&gt;20 W/m2)]])*24,"")</f>
        <v>12.533333333333335</v>
      </c>
      <c r="L31" s="7" t="s">
        <v>292</v>
      </c>
      <c r="M31" s="67">
        <v>8020.9</v>
      </c>
      <c r="N31" s="208">
        <f>IFERROR(VLOOKUP(Grid_BD[[#This Row],[Affected Equipment ]],'Basic Data'!$A$2:$C$118,3,0),"")</f>
        <v>1</v>
      </c>
      <c r="O31" s="7" t="s">
        <v>293</v>
      </c>
      <c r="P31" s="7" t="s">
        <v>19</v>
      </c>
      <c r="R31" s="182" t="s">
        <v>294</v>
      </c>
      <c r="S31" s="207">
        <v>0.34166666666666667</v>
      </c>
      <c r="V31" s="207">
        <v>0.39166666666666666</v>
      </c>
      <c r="Y31" s="111">
        <f>(Grid_BD[[#This Row],[Work Completion time on fault]]-Grid_BD[[#This Row],[Fault Time]])*24</f>
        <v>1.1999999999999997</v>
      </c>
      <c r="Z31" s="67">
        <f>(Grid_BD[[#This Row],[Work Completion time on fault]]-Grid_BD[[#This Row],[Fault Time]])*24</f>
        <v>1.1999999999999997</v>
      </c>
      <c r="AB31" s="7" t="s">
        <v>73</v>
      </c>
      <c r="AC31" s="67">
        <f>IFERROR(Grid_BD[[#This Row],[Plant Equivalent Weightage]]*Grid_BD[[#This Row],[Resolution Time]],"")</f>
        <v>1.1999999999999997</v>
      </c>
      <c r="AD31" s="7">
        <v>0.49</v>
      </c>
      <c r="AE31" s="111">
        <f>Grid_BD[[#This Row],[Lost PoA(kWh/m2)]]*Grid_BD[[#This Row],[DC Capacity Affected (kW)]]*_xlfn.XLOOKUP(Grid_BD[[#This Row],[Month Year]],'Modelling New'!$D:$D,'Modelling New'!$O:$O)</f>
        <v>2736.2979603153776</v>
      </c>
    </row>
    <row r="32" spans="1:31" x14ac:dyDescent="0.3">
      <c r="A32" s="7">
        <f t="shared" si="0"/>
        <v>31</v>
      </c>
      <c r="B32" s="203">
        <v>45799</v>
      </c>
      <c r="C32" s="101">
        <f>YEAR(Grid_BD[[#This Row],[Date]])+IF(MONTH(Grid_BD[[#This Row],[Date]])&gt;=4,1,0)</f>
        <v>2026</v>
      </c>
      <c r="D32" s="7">
        <f>YEAR(Grid_BD[[#This Row],[Date]])</f>
        <v>2025</v>
      </c>
      <c r="E32" s="204" t="s">
        <v>317</v>
      </c>
      <c r="F32" s="204" t="s">
        <v>317</v>
      </c>
      <c r="G32" s="205">
        <f>Grid_BD[[#This Row],[Date]]-DAY(Grid_BD[[#This Row],[Date]])+1</f>
        <v>45778</v>
      </c>
      <c r="H32" s="7">
        <f>DAY(EOMONTH(Grid_BD[[#This Row],[Month Year]],0))</f>
        <v>31</v>
      </c>
      <c r="I32" s="207">
        <f>_xlfn.XLOOKUP(Grid_BD[[#This Row],[Date]],'Raw Data'!$G:$G,'Raw Data'!$I:$I)</f>
        <v>0.24374999999999999</v>
      </c>
      <c r="J32" s="207">
        <f>_xlfn.XLOOKUP(Grid_BD[[#This Row],[Date]],'Raw Data'!$G:$G,'Raw Data'!$J:$J)</f>
        <v>0.76597222222222228</v>
      </c>
      <c r="K32" s="111">
        <f>IFERROR((Grid_BD[[#This Row],[Sunset Time (POA&lt;20 W/m2)]]-Grid_BD[[#This Row],[Sunrise Time (POA&gt;20 W/m2)]])*24,"")</f>
        <v>12.533333333333335</v>
      </c>
      <c r="L32" s="7" t="s">
        <v>292</v>
      </c>
      <c r="M32" s="67">
        <v>8020.9</v>
      </c>
      <c r="N32" s="208">
        <f>IFERROR(VLOOKUP(Grid_BD[[#This Row],[Affected Equipment ]],'Basic Data'!$A$2:$C$118,3,0),"")</f>
        <v>1</v>
      </c>
      <c r="O32" s="7" t="s">
        <v>293</v>
      </c>
      <c r="P32" s="7" t="s">
        <v>19</v>
      </c>
      <c r="R32" s="182" t="s">
        <v>294</v>
      </c>
      <c r="S32" s="207">
        <v>0.46111111111111114</v>
      </c>
      <c r="V32" s="207">
        <v>0.47916666666666669</v>
      </c>
      <c r="Y32" s="111">
        <f>(Grid_BD[[#This Row],[Work Completion time on fault]]-Grid_BD[[#This Row],[Fault Time]])*24</f>
        <v>0.43333333333333313</v>
      </c>
      <c r="Z32" s="67">
        <f>(Grid_BD[[#This Row],[Work Completion time on fault]]-Grid_BD[[#This Row],[Fault Time]])*24</f>
        <v>0.43333333333333313</v>
      </c>
      <c r="AB32" s="7" t="s">
        <v>73</v>
      </c>
      <c r="AC32" s="67">
        <f>IFERROR(Grid_BD[[#This Row],[Plant Equivalent Weightage]]*Grid_BD[[#This Row],[Resolution Time]],"")</f>
        <v>0.43333333333333313</v>
      </c>
      <c r="AD32" s="7">
        <v>0.38</v>
      </c>
      <c r="AE32" s="111">
        <f>Grid_BD[[#This Row],[Lost PoA(kWh/m2)]]*Grid_BD[[#This Row],[DC Capacity Affected (kW)]]*_xlfn.XLOOKUP(Grid_BD[[#This Row],[Month Year]],'Modelling New'!$D:$D,'Modelling New'!$O:$O)</f>
        <v>2122.0269896323339</v>
      </c>
    </row>
    <row r="33" spans="1:31" x14ac:dyDescent="0.3">
      <c r="A33" s="7">
        <f t="shared" si="0"/>
        <v>32</v>
      </c>
      <c r="B33" s="203">
        <v>45799</v>
      </c>
      <c r="C33" s="101">
        <f>YEAR(Grid_BD[[#This Row],[Date]])+IF(MONTH(Grid_BD[[#This Row],[Date]])&gt;=4,1,0)</f>
        <v>2026</v>
      </c>
      <c r="D33" s="7">
        <f>YEAR(Grid_BD[[#This Row],[Date]])</f>
        <v>2025</v>
      </c>
      <c r="E33" s="204" t="s">
        <v>317</v>
      </c>
      <c r="F33" s="204" t="s">
        <v>317</v>
      </c>
      <c r="G33" s="205">
        <f>Grid_BD[[#This Row],[Date]]-DAY(Grid_BD[[#This Row],[Date]])+1</f>
        <v>45778</v>
      </c>
      <c r="H33" s="7">
        <f>DAY(EOMONTH(Grid_BD[[#This Row],[Month Year]],0))</f>
        <v>31</v>
      </c>
      <c r="I33" s="207">
        <f>_xlfn.XLOOKUP(Grid_BD[[#This Row],[Date]],'Raw Data'!$G:$G,'Raw Data'!$I:$I)</f>
        <v>0.24374999999999999</v>
      </c>
      <c r="J33" s="207">
        <f>_xlfn.XLOOKUP(Grid_BD[[#This Row],[Date]],'Raw Data'!$G:$G,'Raw Data'!$J:$J)</f>
        <v>0.76597222222222228</v>
      </c>
      <c r="K33" s="111">
        <f>IFERROR((Grid_BD[[#This Row],[Sunset Time (POA&lt;20 W/m2)]]-Grid_BD[[#This Row],[Sunrise Time (POA&gt;20 W/m2)]])*24,"")</f>
        <v>12.533333333333335</v>
      </c>
      <c r="L33" s="7" t="s">
        <v>292</v>
      </c>
      <c r="M33" s="67">
        <v>8020.9</v>
      </c>
      <c r="N33" s="208">
        <f>IFERROR(VLOOKUP(Grid_BD[[#This Row],[Affected Equipment ]],'Basic Data'!$A$2:$C$118,3,0),"")</f>
        <v>1</v>
      </c>
      <c r="O33" s="7" t="s">
        <v>293</v>
      </c>
      <c r="P33" s="7" t="s">
        <v>19</v>
      </c>
      <c r="R33" s="182" t="s">
        <v>294</v>
      </c>
      <c r="S33" s="207">
        <v>0.65833333333333333</v>
      </c>
      <c r="V33" s="207">
        <v>0.6743055555555556</v>
      </c>
      <c r="Y33" s="111">
        <f>(Grid_BD[[#This Row],[Work Completion time on fault]]-Grid_BD[[#This Row],[Fault Time]])*24</f>
        <v>0.38333333333333464</v>
      </c>
      <c r="Z33" s="67">
        <f>(Grid_BD[[#This Row],[Work Completion time on fault]]-Grid_BD[[#This Row],[Fault Time]])*24</f>
        <v>0.38333333333333464</v>
      </c>
      <c r="AB33" s="7" t="s">
        <v>73</v>
      </c>
      <c r="AC33" s="67">
        <f>IFERROR(Grid_BD[[#This Row],[Plant Equivalent Weightage]]*Grid_BD[[#This Row],[Resolution Time]],"")</f>
        <v>0.38333333333333464</v>
      </c>
      <c r="AD33" s="7">
        <v>0.19</v>
      </c>
      <c r="AE33" s="111">
        <f>Grid_BD[[#This Row],[Lost PoA(kWh/m2)]]*Grid_BD[[#This Row],[DC Capacity Affected (kW)]]*_xlfn.XLOOKUP(Grid_BD[[#This Row],[Month Year]],'Modelling New'!$D:$D,'Modelling New'!$O:$O)</f>
        <v>1061.0134948161669</v>
      </c>
    </row>
    <row r="34" spans="1:31" x14ac:dyDescent="0.3">
      <c r="A34" s="7">
        <f t="shared" si="0"/>
        <v>33</v>
      </c>
      <c r="B34" s="203">
        <v>45801</v>
      </c>
      <c r="C34" s="101">
        <f>YEAR(Grid_BD[[#This Row],[Date]])+IF(MONTH(Grid_BD[[#This Row],[Date]])&gt;=4,1,0)</f>
        <v>2026</v>
      </c>
      <c r="D34" s="7">
        <f>YEAR(Grid_BD[[#This Row],[Date]])</f>
        <v>2025</v>
      </c>
      <c r="E34" s="204" t="s">
        <v>317</v>
      </c>
      <c r="F34" s="204" t="s">
        <v>317</v>
      </c>
      <c r="G34" s="205">
        <f>Grid_BD[[#This Row],[Date]]-DAY(Grid_BD[[#This Row],[Date]])+1</f>
        <v>45778</v>
      </c>
      <c r="H34" s="7">
        <f>DAY(EOMONTH(Grid_BD[[#This Row],[Month Year]],0))</f>
        <v>31</v>
      </c>
      <c r="I34" s="207">
        <f>_xlfn.XLOOKUP(Grid_BD[[#This Row],[Date]],'Raw Data'!$G:$G,'Raw Data'!$I:$I)</f>
        <v>0.25069444444444444</v>
      </c>
      <c r="J34" s="207">
        <f>_xlfn.XLOOKUP(Grid_BD[[#This Row],[Date]],'Raw Data'!$G:$G,'Raw Data'!$J:$J)</f>
        <v>0.77500000000000002</v>
      </c>
      <c r="K34" s="111">
        <f>IFERROR((Grid_BD[[#This Row],[Sunset Time (POA&lt;20 W/m2)]]-Grid_BD[[#This Row],[Sunrise Time (POA&gt;20 W/m2)]])*24,"")</f>
        <v>12.583333333333334</v>
      </c>
      <c r="L34" s="7" t="s">
        <v>292</v>
      </c>
      <c r="M34" s="67">
        <v>8020.9</v>
      </c>
      <c r="N34" s="208">
        <f>IFERROR(VLOOKUP(Grid_BD[[#This Row],[Affected Equipment ]],'Basic Data'!$A$2:$C$118,3,0),"")</f>
        <v>1</v>
      </c>
      <c r="O34" s="7" t="s">
        <v>293</v>
      </c>
      <c r="P34" s="7" t="s">
        <v>19</v>
      </c>
      <c r="R34" s="182" t="s">
        <v>294</v>
      </c>
      <c r="S34" s="207">
        <v>0.65555555555555556</v>
      </c>
      <c r="V34" s="207">
        <v>0.66249999999999998</v>
      </c>
      <c r="Y34" s="111">
        <f>(Grid_BD[[#This Row],[Work Completion time on fault]]-Grid_BD[[#This Row],[Fault Time]])*24</f>
        <v>0.16666666666666607</v>
      </c>
      <c r="Z34" s="67">
        <f>(Grid_BD[[#This Row],[Work Completion time on fault]]-Grid_BD[[#This Row],[Fault Time]])*24</f>
        <v>0.16666666666666607</v>
      </c>
      <c r="AB34" s="7" t="s">
        <v>73</v>
      </c>
      <c r="AC34" s="67">
        <f>IFERROR(Grid_BD[[#This Row],[Plant Equivalent Weightage]]*Grid_BD[[#This Row],[Resolution Time]],"")</f>
        <v>0.16666666666666607</v>
      </c>
      <c r="AD34" s="7">
        <v>0.05</v>
      </c>
      <c r="AE34" s="111">
        <f>Grid_BD[[#This Row],[Lost PoA(kWh/m2)]]*Grid_BD[[#This Row],[DC Capacity Affected (kW)]]*_xlfn.XLOOKUP(Grid_BD[[#This Row],[Month Year]],'Modelling New'!$D:$D,'Modelling New'!$O:$O)</f>
        <v>279.21407758320186</v>
      </c>
    </row>
    <row r="35" spans="1:31" x14ac:dyDescent="0.3">
      <c r="A35" s="7">
        <f t="shared" si="0"/>
        <v>34</v>
      </c>
      <c r="B35" s="203">
        <v>45801</v>
      </c>
      <c r="C35" s="101">
        <f>YEAR(Grid_BD[[#This Row],[Date]])+IF(MONTH(Grid_BD[[#This Row],[Date]])&gt;=4,1,0)</f>
        <v>2026</v>
      </c>
      <c r="D35" s="7">
        <f>YEAR(Grid_BD[[#This Row],[Date]])</f>
        <v>2025</v>
      </c>
      <c r="E35" s="204" t="s">
        <v>317</v>
      </c>
      <c r="F35" s="204" t="s">
        <v>317</v>
      </c>
      <c r="G35" s="205">
        <f>Grid_BD[[#This Row],[Date]]-DAY(Grid_BD[[#This Row],[Date]])+1</f>
        <v>45778</v>
      </c>
      <c r="H35" s="7">
        <f>DAY(EOMONTH(Grid_BD[[#This Row],[Month Year]],0))</f>
        <v>31</v>
      </c>
      <c r="I35" s="207">
        <f>_xlfn.XLOOKUP(Grid_BD[[#This Row],[Date]],'Raw Data'!$G:$G,'Raw Data'!$I:$I)</f>
        <v>0.25069444444444444</v>
      </c>
      <c r="J35" s="207">
        <f>_xlfn.XLOOKUP(Grid_BD[[#This Row],[Date]],'Raw Data'!$G:$G,'Raw Data'!$J:$J)</f>
        <v>0.77500000000000002</v>
      </c>
      <c r="K35" s="111">
        <f>IFERROR((Grid_BD[[#This Row],[Sunset Time (POA&lt;20 W/m2)]]-Grid_BD[[#This Row],[Sunrise Time (POA&gt;20 W/m2)]])*24,"")</f>
        <v>12.583333333333334</v>
      </c>
      <c r="L35" s="7" t="s">
        <v>292</v>
      </c>
      <c r="M35" s="67">
        <v>8020.9</v>
      </c>
      <c r="N35" s="208">
        <f>IFERROR(VLOOKUP(Grid_BD[[#This Row],[Affected Equipment ]],'Basic Data'!$A$2:$C$118,3,0),"")</f>
        <v>1</v>
      </c>
      <c r="O35" s="7" t="s">
        <v>293</v>
      </c>
      <c r="P35" s="7" t="s">
        <v>19</v>
      </c>
      <c r="R35" s="182" t="s">
        <v>294</v>
      </c>
      <c r="S35" s="207">
        <v>0.68888888888888888</v>
      </c>
      <c r="V35" s="207">
        <v>0.70694444444444449</v>
      </c>
      <c r="Y35" s="111">
        <f>(Grid_BD[[#This Row],[Work Completion time on fault]]-Grid_BD[[#This Row],[Fault Time]])*24</f>
        <v>0.43333333333333446</v>
      </c>
      <c r="Z35" s="67">
        <f>(Grid_BD[[#This Row],[Work Completion time on fault]]-Grid_BD[[#This Row],[Fault Time]])*24</f>
        <v>0.43333333333333446</v>
      </c>
      <c r="AB35" s="7" t="s">
        <v>73</v>
      </c>
      <c r="AC35" s="67">
        <f>IFERROR(Grid_BD[[#This Row],[Plant Equivalent Weightage]]*Grid_BD[[#This Row],[Resolution Time]],"")</f>
        <v>0.43333333333333446</v>
      </c>
      <c r="AD35" s="7">
        <v>0.01</v>
      </c>
      <c r="AE35" s="111">
        <f>Grid_BD[[#This Row],[Lost PoA(kWh/m2)]]*Grid_BD[[#This Row],[DC Capacity Affected (kW)]]*_xlfn.XLOOKUP(Grid_BD[[#This Row],[Month Year]],'Modelling New'!$D:$D,'Modelling New'!$O:$O)</f>
        <v>55.842815516640371</v>
      </c>
    </row>
    <row r="36" spans="1:31" x14ac:dyDescent="0.3">
      <c r="A36" s="7">
        <f t="shared" si="0"/>
        <v>35</v>
      </c>
      <c r="B36" s="203">
        <v>45802</v>
      </c>
      <c r="C36" s="101">
        <f>YEAR(Grid_BD[[#This Row],[Date]])+IF(MONTH(Grid_BD[[#This Row],[Date]])&gt;=4,1,0)</f>
        <v>2026</v>
      </c>
      <c r="D36" s="7">
        <f>YEAR(Grid_BD[[#This Row],[Date]])</f>
        <v>2025</v>
      </c>
      <c r="E36" s="204" t="s">
        <v>317</v>
      </c>
      <c r="F36" s="204" t="s">
        <v>317</v>
      </c>
      <c r="G36" s="205">
        <f>Grid_BD[[#This Row],[Date]]-DAY(Grid_BD[[#This Row],[Date]])+1</f>
        <v>45778</v>
      </c>
      <c r="H36" s="7">
        <f>DAY(EOMONTH(Grid_BD[[#This Row],[Month Year]],0))</f>
        <v>31</v>
      </c>
      <c r="I36" s="207">
        <f>_xlfn.XLOOKUP(Grid_BD[[#This Row],[Date]],'Raw Data'!$G:$G,'Raw Data'!$I:$I)</f>
        <v>0.24374999999999999</v>
      </c>
      <c r="J36" s="207">
        <f>_xlfn.XLOOKUP(Grid_BD[[#This Row],[Date]],'Raw Data'!$G:$G,'Raw Data'!$J:$J)</f>
        <v>0.77986111111111112</v>
      </c>
      <c r="K36" s="111">
        <f>IFERROR((Grid_BD[[#This Row],[Sunset Time (POA&lt;20 W/m2)]]-Grid_BD[[#This Row],[Sunrise Time (POA&gt;20 W/m2)]])*24,"")</f>
        <v>12.866666666666667</v>
      </c>
      <c r="L36" s="7" t="s">
        <v>292</v>
      </c>
      <c r="M36" s="67">
        <v>8020.9</v>
      </c>
      <c r="N36" s="208">
        <f>IFERROR(VLOOKUP(Grid_BD[[#This Row],[Affected Equipment ]],'Basic Data'!$A$2:$C$118,3,0),"")</f>
        <v>1</v>
      </c>
      <c r="O36" s="7" t="s">
        <v>293</v>
      </c>
      <c r="P36" s="7" t="s">
        <v>19</v>
      </c>
      <c r="R36" s="182" t="s">
        <v>294</v>
      </c>
      <c r="S36" s="207">
        <v>0.74027777777777781</v>
      </c>
      <c r="V36" s="207">
        <v>0.75069444444444444</v>
      </c>
      <c r="Y36" s="111">
        <f>(Grid_BD[[#This Row],[Work Completion time on fault]]-Grid_BD[[#This Row],[Fault Time]])*24</f>
        <v>0.24999999999999911</v>
      </c>
      <c r="Z36" s="67">
        <f>(Grid_BD[[#This Row],[Work Completion time on fault]]-Grid_BD[[#This Row],[Fault Time]])*24</f>
        <v>0.24999999999999911</v>
      </c>
      <c r="AB36" s="7" t="s">
        <v>73</v>
      </c>
      <c r="AC36" s="67">
        <f>IFERROR(Grid_BD[[#This Row],[Plant Equivalent Weightage]]*Grid_BD[[#This Row],[Resolution Time]],"")</f>
        <v>0.24999999999999911</v>
      </c>
      <c r="AD36" s="7">
        <v>8.0000000000000002E-3</v>
      </c>
      <c r="AE36" s="111">
        <f>Grid_BD[[#This Row],[Lost PoA(kWh/m2)]]*Grid_BD[[#This Row],[DC Capacity Affected (kW)]]*_xlfn.XLOOKUP(Grid_BD[[#This Row],[Month Year]],'Modelling New'!$D:$D,'Modelling New'!$O:$O)</f>
        <v>44.674252413312288</v>
      </c>
    </row>
    <row r="37" spans="1:31" x14ac:dyDescent="0.3">
      <c r="A37" s="7">
        <f t="shared" si="0"/>
        <v>36</v>
      </c>
      <c r="B37" s="203">
        <v>45803</v>
      </c>
      <c r="C37" s="101">
        <f>YEAR(Grid_BD[[#This Row],[Date]])+IF(MONTH(Grid_BD[[#This Row],[Date]])&gt;=4,1,0)</f>
        <v>2026</v>
      </c>
      <c r="D37" s="7">
        <f>YEAR(Grid_BD[[#This Row],[Date]])</f>
        <v>2025</v>
      </c>
      <c r="E37" s="204" t="s">
        <v>317</v>
      </c>
      <c r="F37" s="204" t="s">
        <v>317</v>
      </c>
      <c r="G37" s="205">
        <f>Grid_BD[[#This Row],[Date]]-DAY(Grid_BD[[#This Row],[Date]])+1</f>
        <v>45778</v>
      </c>
      <c r="H37" s="7">
        <f>DAY(EOMONTH(Grid_BD[[#This Row],[Month Year]],0))</f>
        <v>31</v>
      </c>
      <c r="I37" s="207">
        <f>_xlfn.XLOOKUP(Grid_BD[[#This Row],[Date]],'Raw Data'!$G:$G,'Raw Data'!$I:$I)</f>
        <v>0.25138888888888888</v>
      </c>
      <c r="J37" s="207">
        <f>_xlfn.XLOOKUP(Grid_BD[[#This Row],[Date]],'Raw Data'!$G:$G,'Raw Data'!$J:$J)</f>
        <v>0.78472222222222221</v>
      </c>
      <c r="K37" s="111">
        <f>IFERROR((Grid_BD[[#This Row],[Sunset Time (POA&lt;20 W/m2)]]-Grid_BD[[#This Row],[Sunrise Time (POA&gt;20 W/m2)]])*24,"")</f>
        <v>12.8</v>
      </c>
      <c r="L37" s="7" t="s">
        <v>292</v>
      </c>
      <c r="M37" s="67">
        <v>8020.9</v>
      </c>
      <c r="N37" s="208">
        <f>IFERROR(VLOOKUP(Grid_BD[[#This Row],[Affected Equipment ]],'Basic Data'!$A$2:$C$118,3,0),"")</f>
        <v>1</v>
      </c>
      <c r="O37" s="7" t="s">
        <v>293</v>
      </c>
      <c r="P37" s="7" t="s">
        <v>19</v>
      </c>
      <c r="R37" s="182" t="s">
        <v>294</v>
      </c>
      <c r="S37" s="207">
        <v>0.55694444444444446</v>
      </c>
      <c r="V37" s="207">
        <v>0.56180555555555556</v>
      </c>
      <c r="Y37" s="111">
        <f>(Grid_BD[[#This Row],[Work Completion time on fault]]-Grid_BD[[#This Row],[Fault Time]])*24</f>
        <v>0.11666666666666625</v>
      </c>
      <c r="Z37" s="67">
        <f>(Grid_BD[[#This Row],[Work Completion time on fault]]-Grid_BD[[#This Row],[Fault Time]])*24</f>
        <v>0.11666666666666625</v>
      </c>
      <c r="AB37" s="7" t="s">
        <v>73</v>
      </c>
      <c r="AC37" s="67">
        <f>IFERROR(Grid_BD[[#This Row],[Plant Equivalent Weightage]]*Grid_BD[[#This Row],[Resolution Time]],"")</f>
        <v>0.11666666666666625</v>
      </c>
      <c r="AD37" s="7">
        <v>0.02</v>
      </c>
      <c r="AE37" s="111">
        <f>Grid_BD[[#This Row],[Lost PoA(kWh/m2)]]*Grid_BD[[#This Row],[DC Capacity Affected (kW)]]*_xlfn.XLOOKUP(Grid_BD[[#This Row],[Month Year]],'Modelling New'!$D:$D,'Modelling New'!$O:$O)</f>
        <v>111.68563103328074</v>
      </c>
    </row>
    <row r="38" spans="1:31" x14ac:dyDescent="0.3">
      <c r="A38" s="7">
        <f t="shared" si="0"/>
        <v>37</v>
      </c>
      <c r="B38" s="203">
        <v>45804</v>
      </c>
      <c r="C38" s="101">
        <f>YEAR(Grid_BD[[#This Row],[Date]])+IF(MONTH(Grid_BD[[#This Row],[Date]])&gt;=4,1,0)</f>
        <v>2026</v>
      </c>
      <c r="D38" s="7">
        <f>YEAR(Grid_BD[[#This Row],[Date]])</f>
        <v>2025</v>
      </c>
      <c r="E38" s="204" t="s">
        <v>317</v>
      </c>
      <c r="F38" s="204" t="s">
        <v>317</v>
      </c>
      <c r="G38" s="205">
        <f>Grid_BD[[#This Row],[Date]]-DAY(Grid_BD[[#This Row],[Date]])+1</f>
        <v>45778</v>
      </c>
      <c r="H38" s="7">
        <f>DAY(EOMONTH(Grid_BD[[#This Row],[Month Year]],0))</f>
        <v>31</v>
      </c>
      <c r="I38" s="207">
        <f>_xlfn.XLOOKUP(Grid_BD[[#This Row],[Date]],'Raw Data'!$G:$G,'Raw Data'!$I:$I)</f>
        <v>0.24374999999999999</v>
      </c>
      <c r="J38" s="207">
        <f>_xlfn.XLOOKUP(Grid_BD[[#This Row],[Date]],'Raw Data'!$G:$G,'Raw Data'!$J:$J)</f>
        <v>0.7680555555555556</v>
      </c>
      <c r="K38" s="111">
        <f>IFERROR((Grid_BD[[#This Row],[Sunset Time (POA&lt;20 W/m2)]]-Grid_BD[[#This Row],[Sunrise Time (POA&gt;20 W/m2)]])*24,"")</f>
        <v>12.583333333333334</v>
      </c>
      <c r="L38" s="7" t="s">
        <v>292</v>
      </c>
      <c r="M38" s="67">
        <v>8020.9</v>
      </c>
      <c r="N38" s="208">
        <f>IFERROR(VLOOKUP(Grid_BD[[#This Row],[Affected Equipment ]],'Basic Data'!$A$2:$C$118,3,0),"")</f>
        <v>1</v>
      </c>
      <c r="O38" s="7" t="s">
        <v>293</v>
      </c>
      <c r="P38" s="7" t="s">
        <v>19</v>
      </c>
      <c r="R38" s="182" t="s">
        <v>294</v>
      </c>
      <c r="S38" s="207">
        <v>0.32777777777777778</v>
      </c>
      <c r="V38" s="207">
        <v>0.34791666666666665</v>
      </c>
      <c r="Y38" s="111">
        <f>(Grid_BD[[#This Row],[Work Completion time on fault]]-Grid_BD[[#This Row],[Fault Time]])*24</f>
        <v>0.48333333333333295</v>
      </c>
      <c r="Z38" s="67">
        <f>(Grid_BD[[#This Row],[Work Completion time on fault]]-Grid_BD[[#This Row],[Fault Time]])*24</f>
        <v>0.48333333333333295</v>
      </c>
      <c r="AB38" s="7" t="s">
        <v>73</v>
      </c>
      <c r="AC38" s="67">
        <f>IFERROR(Grid_BD[[#This Row],[Plant Equivalent Weightage]]*Grid_BD[[#This Row],[Resolution Time]],"")</f>
        <v>0.48333333333333295</v>
      </c>
      <c r="AD38" s="7">
        <v>0.1</v>
      </c>
      <c r="AE38" s="111">
        <f>Grid_BD[[#This Row],[Lost PoA(kWh/m2)]]*Grid_BD[[#This Row],[DC Capacity Affected (kW)]]*_xlfn.XLOOKUP(Grid_BD[[#This Row],[Month Year]],'Modelling New'!$D:$D,'Modelling New'!$O:$O)</f>
        <v>558.42815516640371</v>
      </c>
    </row>
    <row r="39" spans="1:31" x14ac:dyDescent="0.3">
      <c r="A39" s="7">
        <f t="shared" si="0"/>
        <v>38</v>
      </c>
      <c r="B39" s="203">
        <v>45813</v>
      </c>
      <c r="C39" s="101">
        <f>YEAR(Grid_BD[[#This Row],[Date]])+IF(MONTH(Grid_BD[[#This Row],[Date]])&gt;=4,1,0)</f>
        <v>2026</v>
      </c>
      <c r="D39" s="7">
        <f>YEAR(Grid_BD[[#This Row],[Date]])</f>
        <v>2025</v>
      </c>
      <c r="E39" s="204" t="s">
        <v>317</v>
      </c>
      <c r="F39" s="204" t="s">
        <v>317</v>
      </c>
      <c r="G39" s="205">
        <f>Grid_BD[[#This Row],[Date]]-DAY(Grid_BD[[#This Row],[Date]])+1</f>
        <v>45809</v>
      </c>
      <c r="H39" s="7">
        <f>DAY(EOMONTH(Grid_BD[[#This Row],[Month Year]],0))</f>
        <v>30</v>
      </c>
      <c r="I39" s="207">
        <f>_xlfn.XLOOKUP(Grid_BD[[#This Row],[Date]],'Raw Data'!$G:$G,'Raw Data'!$I:$I)</f>
        <v>0.25</v>
      </c>
      <c r="J39" s="207">
        <f>_xlfn.XLOOKUP(Grid_BD[[#This Row],[Date]],'Raw Data'!$G:$G,'Raw Data'!$J:$J)</f>
        <v>0.77569444444444446</v>
      </c>
      <c r="K39" s="111">
        <f>IFERROR((Grid_BD[[#This Row],[Sunset Time (POA&lt;20 W/m2)]]-Grid_BD[[#This Row],[Sunrise Time (POA&gt;20 W/m2)]])*24,"")</f>
        <v>12.616666666666667</v>
      </c>
      <c r="L39" s="7" t="s">
        <v>292</v>
      </c>
      <c r="M39" s="67">
        <v>8020.9</v>
      </c>
      <c r="N39" s="208">
        <f>IFERROR(VLOOKUP(Grid_BD[[#This Row],[Affected Equipment ]],'Basic Data'!$A$2:$C$118,3,0),"")</f>
        <v>1</v>
      </c>
      <c r="O39" s="7" t="s">
        <v>293</v>
      </c>
      <c r="P39" s="7" t="s">
        <v>19</v>
      </c>
      <c r="R39" s="182" t="s">
        <v>294</v>
      </c>
      <c r="S39" s="207">
        <v>0.41249999999999998</v>
      </c>
      <c r="V39" s="207">
        <v>0.42222222222222222</v>
      </c>
      <c r="Y39" s="111">
        <f>(Grid_BD[[#This Row],[Work Completion time on fault]]-Grid_BD[[#This Row],[Fault Time]])*24</f>
        <v>0.23333333333333384</v>
      </c>
      <c r="Z39" s="67">
        <f>(Grid_BD[[#This Row],[Work Completion time on fault]]-Grid_BD[[#This Row],[Fault Time]])*24</f>
        <v>0.23333333333333384</v>
      </c>
      <c r="AB39" s="7" t="s">
        <v>73</v>
      </c>
      <c r="AC39" s="67">
        <f>IFERROR(Grid_BD[[#This Row],[Plant Equivalent Weightage]]*Grid_BD[[#This Row],[Resolution Time]],"")</f>
        <v>0.23333333333333384</v>
      </c>
      <c r="AD39" s="7">
        <v>0.1</v>
      </c>
      <c r="AE39" s="111">
        <f>Grid_BD[[#This Row],[Lost PoA(kWh/m2)]]*Grid_BD[[#This Row],[DC Capacity Affected (kW)]]*_xlfn.XLOOKUP(Grid_BD[[#This Row],[Month Year]],'Modelling New'!$D:$D,'Modelling New'!$O:$O)</f>
        <v>544.53252754830805</v>
      </c>
    </row>
    <row r="40" spans="1:31" x14ac:dyDescent="0.3">
      <c r="A40" s="7">
        <f t="shared" si="0"/>
        <v>39</v>
      </c>
      <c r="B40" s="203">
        <v>45815</v>
      </c>
      <c r="C40" s="101">
        <f>YEAR(Grid_BD[[#This Row],[Date]])+IF(MONTH(Grid_BD[[#This Row],[Date]])&gt;=4,1,0)</f>
        <v>2026</v>
      </c>
      <c r="D40" s="7">
        <f>YEAR(Grid_BD[[#This Row],[Date]])</f>
        <v>2025</v>
      </c>
      <c r="E40" s="204" t="s">
        <v>317</v>
      </c>
      <c r="F40" s="204" t="s">
        <v>317</v>
      </c>
      <c r="G40" s="205">
        <f>Grid_BD[[#This Row],[Date]]-DAY(Grid_BD[[#This Row],[Date]])+1</f>
        <v>45809</v>
      </c>
      <c r="H40" s="7">
        <f>DAY(EOMONTH(Grid_BD[[#This Row],[Month Year]],0))</f>
        <v>30</v>
      </c>
      <c r="I40" s="207">
        <f>_xlfn.XLOOKUP(Grid_BD[[#This Row],[Date]],'Raw Data'!$G:$G,'Raw Data'!$I:$I)</f>
        <v>0.24444444444444444</v>
      </c>
      <c r="J40" s="207">
        <f>_xlfn.XLOOKUP(Grid_BD[[#This Row],[Date]],'Raw Data'!$G:$G,'Raw Data'!$J:$J)</f>
        <v>0.78333333333333333</v>
      </c>
      <c r="K40" s="111">
        <f>IFERROR((Grid_BD[[#This Row],[Sunset Time (POA&lt;20 W/m2)]]-Grid_BD[[#This Row],[Sunrise Time (POA&gt;20 W/m2)]])*24,"")</f>
        <v>12.933333333333334</v>
      </c>
      <c r="L40" s="7" t="s">
        <v>292</v>
      </c>
      <c r="M40" s="67">
        <v>8020.9</v>
      </c>
      <c r="N40" s="208">
        <f>IFERROR(VLOOKUP(Grid_BD[[#This Row],[Affected Equipment ]],'Basic Data'!$A$2:$C$118,3,0),"")</f>
        <v>1</v>
      </c>
      <c r="O40" s="7" t="s">
        <v>293</v>
      </c>
      <c r="P40" s="7" t="s">
        <v>19</v>
      </c>
      <c r="R40" s="182" t="s">
        <v>294</v>
      </c>
      <c r="S40" s="207">
        <v>0.31944444444444442</v>
      </c>
      <c r="V40" s="207">
        <v>0.32500000000000001</v>
      </c>
      <c r="Y40" s="111">
        <f>(Grid_BD[[#This Row],[Work Completion time on fault]]-Grid_BD[[#This Row],[Fault Time]])*24</f>
        <v>0.13333333333333419</v>
      </c>
      <c r="Z40" s="67">
        <f>(Grid_BD[[#This Row],[Work Completion time on fault]]-Grid_BD[[#This Row],[Fault Time]])*24</f>
        <v>0.13333333333333419</v>
      </c>
      <c r="AB40" s="7" t="s">
        <v>73</v>
      </c>
      <c r="AC40" s="67">
        <f>IFERROR(Grid_BD[[#This Row],[Plant Equivalent Weightage]]*Grid_BD[[#This Row],[Resolution Time]],"")</f>
        <v>0.13333333333333419</v>
      </c>
      <c r="AD40" s="7">
        <v>0.02</v>
      </c>
      <c r="AE40" s="111">
        <f>Grid_BD[[#This Row],[Lost PoA(kWh/m2)]]*Grid_BD[[#This Row],[DC Capacity Affected (kW)]]*_xlfn.XLOOKUP(Grid_BD[[#This Row],[Month Year]],'Modelling New'!$D:$D,'Modelling New'!$O:$O)</f>
        <v>108.90650550966161</v>
      </c>
    </row>
    <row r="41" spans="1:31" x14ac:dyDescent="0.3">
      <c r="A41" s="7">
        <f t="shared" si="0"/>
        <v>40</v>
      </c>
      <c r="B41" s="203">
        <v>45815</v>
      </c>
      <c r="C41" s="101">
        <f>YEAR(Grid_BD[[#This Row],[Date]])+IF(MONTH(Grid_BD[[#This Row],[Date]])&gt;=4,1,0)</f>
        <v>2026</v>
      </c>
      <c r="D41" s="7">
        <f>YEAR(Grid_BD[[#This Row],[Date]])</f>
        <v>2025</v>
      </c>
      <c r="E41" s="204" t="s">
        <v>317</v>
      </c>
      <c r="F41" s="204" t="s">
        <v>317</v>
      </c>
      <c r="G41" s="205">
        <f>Grid_BD[[#This Row],[Date]]-DAY(Grid_BD[[#This Row],[Date]])+1</f>
        <v>45809</v>
      </c>
      <c r="H41" s="7">
        <f>DAY(EOMONTH(Grid_BD[[#This Row],[Month Year]],0))</f>
        <v>30</v>
      </c>
      <c r="I41" s="207">
        <f>_xlfn.XLOOKUP(Grid_BD[[#This Row],[Date]],'Raw Data'!$G:$G,'Raw Data'!$I:$I)</f>
        <v>0.24444444444444444</v>
      </c>
      <c r="J41" s="207">
        <f>_xlfn.XLOOKUP(Grid_BD[[#This Row],[Date]],'Raw Data'!$G:$G,'Raw Data'!$J:$J)</f>
        <v>0.78333333333333333</v>
      </c>
      <c r="K41" s="111">
        <f>IFERROR((Grid_BD[[#This Row],[Sunset Time (POA&lt;20 W/m2)]]-Grid_BD[[#This Row],[Sunrise Time (POA&gt;20 W/m2)]])*24,"")</f>
        <v>12.933333333333334</v>
      </c>
      <c r="L41" s="7" t="s">
        <v>292</v>
      </c>
      <c r="M41" s="67">
        <v>8020.9</v>
      </c>
      <c r="N41" s="208">
        <f>IFERROR(VLOOKUP(Grid_BD[[#This Row],[Affected Equipment ]],'Basic Data'!$A$2:$C$118,3,0),"")</f>
        <v>1</v>
      </c>
      <c r="O41" s="7" t="s">
        <v>293</v>
      </c>
      <c r="P41" s="7" t="s">
        <v>19</v>
      </c>
      <c r="R41" s="182" t="s">
        <v>294</v>
      </c>
      <c r="S41" s="207">
        <v>0.38958333333333334</v>
      </c>
      <c r="V41" s="207">
        <v>0.39374999999999999</v>
      </c>
      <c r="Y41" s="111">
        <f>(Grid_BD[[#This Row],[Work Completion time on fault]]-Grid_BD[[#This Row],[Fault Time]])*24</f>
        <v>9.9999999999999645E-2</v>
      </c>
      <c r="Z41" s="67">
        <f>(Grid_BD[[#This Row],[Work Completion time on fault]]-Grid_BD[[#This Row],[Fault Time]])*24</f>
        <v>9.9999999999999645E-2</v>
      </c>
      <c r="AB41" s="7" t="s">
        <v>73</v>
      </c>
      <c r="AC41" s="67">
        <f>IFERROR(Grid_BD[[#This Row],[Plant Equivalent Weightage]]*Grid_BD[[#This Row],[Resolution Time]],"")</f>
        <v>9.9999999999999645E-2</v>
      </c>
      <c r="AD41" s="7">
        <v>7.0000000000000007E-2</v>
      </c>
      <c r="AE41" s="111">
        <f>Grid_BD[[#This Row],[Lost PoA(kWh/m2)]]*Grid_BD[[#This Row],[DC Capacity Affected (kW)]]*_xlfn.XLOOKUP(Grid_BD[[#This Row],[Month Year]],'Modelling New'!$D:$D,'Modelling New'!$O:$O)</f>
        <v>381.17276928381568</v>
      </c>
    </row>
    <row r="42" spans="1:31" x14ac:dyDescent="0.3">
      <c r="A42" s="7">
        <f t="shared" si="0"/>
        <v>41</v>
      </c>
      <c r="B42" s="203">
        <v>45815</v>
      </c>
      <c r="C42" s="101">
        <f>YEAR(Grid_BD[[#This Row],[Date]])+IF(MONTH(Grid_BD[[#This Row],[Date]])&gt;=4,1,0)</f>
        <v>2026</v>
      </c>
      <c r="D42" s="7">
        <f>YEAR(Grid_BD[[#This Row],[Date]])</f>
        <v>2025</v>
      </c>
      <c r="E42" s="204" t="s">
        <v>317</v>
      </c>
      <c r="F42" s="204" t="s">
        <v>317</v>
      </c>
      <c r="G42" s="205">
        <f>Grid_BD[[#This Row],[Date]]-DAY(Grid_BD[[#This Row],[Date]])+1</f>
        <v>45809</v>
      </c>
      <c r="H42" s="7">
        <f>DAY(EOMONTH(Grid_BD[[#This Row],[Month Year]],0))</f>
        <v>30</v>
      </c>
      <c r="I42" s="207">
        <f>_xlfn.XLOOKUP(Grid_BD[[#This Row],[Date]],'Raw Data'!$G:$G,'Raw Data'!$I:$I)</f>
        <v>0.24444444444444444</v>
      </c>
      <c r="J42" s="207">
        <f>_xlfn.XLOOKUP(Grid_BD[[#This Row],[Date]],'Raw Data'!$G:$G,'Raw Data'!$J:$J)</f>
        <v>0.78333333333333333</v>
      </c>
      <c r="K42" s="111">
        <f>IFERROR((Grid_BD[[#This Row],[Sunset Time (POA&lt;20 W/m2)]]-Grid_BD[[#This Row],[Sunrise Time (POA&gt;20 W/m2)]])*24,"")</f>
        <v>12.933333333333334</v>
      </c>
      <c r="L42" s="7" t="s">
        <v>292</v>
      </c>
      <c r="M42" s="67">
        <v>8020.9</v>
      </c>
      <c r="N42" s="208">
        <f>IFERROR(VLOOKUP(Grid_BD[[#This Row],[Affected Equipment ]],'Basic Data'!$A$2:$C$118,3,0),"")</f>
        <v>1</v>
      </c>
      <c r="O42" s="7" t="s">
        <v>293</v>
      </c>
      <c r="P42" s="7" t="s">
        <v>19</v>
      </c>
      <c r="R42" s="182" t="s">
        <v>294</v>
      </c>
      <c r="S42" s="207">
        <v>0.57777777777777772</v>
      </c>
      <c r="V42" s="207">
        <v>0.65138888888888891</v>
      </c>
      <c r="Y42" s="111">
        <f>(Grid_BD[[#This Row],[Work Completion time on fault]]-Grid_BD[[#This Row],[Fault Time]])*24</f>
        <v>1.7666666666666684</v>
      </c>
      <c r="Z42" s="67">
        <f>(Grid_BD[[#This Row],[Work Completion time on fault]]-Grid_BD[[#This Row],[Fault Time]])*24</f>
        <v>1.7666666666666684</v>
      </c>
      <c r="AB42" s="7" t="s">
        <v>73</v>
      </c>
      <c r="AC42" s="67">
        <f>IFERROR(Grid_BD[[#This Row],[Plant Equivalent Weightage]]*Grid_BD[[#This Row],[Resolution Time]],"")</f>
        <v>1.7666666666666684</v>
      </c>
      <c r="AD42" s="7">
        <v>0.27</v>
      </c>
      <c r="AE42" s="111">
        <f>Grid_BD[[#This Row],[Lost PoA(kWh/m2)]]*Grid_BD[[#This Row],[DC Capacity Affected (kW)]]*_xlfn.XLOOKUP(Grid_BD[[#This Row],[Month Year]],'Modelling New'!$D:$D,'Modelling New'!$O:$O)</f>
        <v>1470.2378243804317</v>
      </c>
    </row>
    <row r="43" spans="1:31" x14ac:dyDescent="0.3">
      <c r="A43" s="7">
        <f t="shared" si="0"/>
        <v>42</v>
      </c>
      <c r="B43" s="203">
        <v>45817</v>
      </c>
      <c r="C43" s="101">
        <f>YEAR(Grid_BD[[#This Row],[Date]])+IF(MONTH(Grid_BD[[#This Row],[Date]])&gt;=4,1,0)</f>
        <v>2026</v>
      </c>
      <c r="D43" s="7">
        <f>YEAR(Grid_BD[[#This Row],[Date]])</f>
        <v>2025</v>
      </c>
      <c r="E43" s="204" t="s">
        <v>317</v>
      </c>
      <c r="F43" s="204" t="s">
        <v>317</v>
      </c>
      <c r="G43" s="205">
        <f>Grid_BD[[#This Row],[Date]]-DAY(Grid_BD[[#This Row],[Date]])+1</f>
        <v>45809</v>
      </c>
      <c r="H43" s="7">
        <f>DAY(EOMONTH(Grid_BD[[#This Row],[Month Year]],0))</f>
        <v>30</v>
      </c>
      <c r="I43" s="207">
        <f>_xlfn.XLOOKUP(Grid_BD[[#This Row],[Date]],'Raw Data'!$G:$G,'Raw Data'!$I:$I)</f>
        <v>0.27916666666666667</v>
      </c>
      <c r="J43" s="207">
        <f>_xlfn.XLOOKUP(Grid_BD[[#This Row],[Date]],'Raw Data'!$G:$G,'Raw Data'!$J:$J)</f>
        <v>0.78333333333333333</v>
      </c>
      <c r="K43" s="111">
        <f>IFERROR((Grid_BD[[#This Row],[Sunset Time (POA&lt;20 W/m2)]]-Grid_BD[[#This Row],[Sunrise Time (POA&gt;20 W/m2)]])*24,"")</f>
        <v>12.1</v>
      </c>
      <c r="L43" s="7" t="s">
        <v>292</v>
      </c>
      <c r="M43" s="67">
        <v>8020.9</v>
      </c>
      <c r="N43" s="208">
        <f>IFERROR(VLOOKUP(Grid_BD[[#This Row],[Affected Equipment ]],'Basic Data'!$A$2:$C$118,3,0),"")</f>
        <v>1</v>
      </c>
      <c r="O43" s="7" t="s">
        <v>293</v>
      </c>
      <c r="P43" s="7" t="s">
        <v>19</v>
      </c>
      <c r="R43" s="182" t="s">
        <v>1191</v>
      </c>
      <c r="S43" s="207">
        <v>0.39930555555555558</v>
      </c>
      <c r="V43" s="207">
        <v>0.52013888888888893</v>
      </c>
      <c r="Y43" s="111">
        <f>(Grid_BD[[#This Row],[Work Completion time on fault]]-Grid_BD[[#This Row],[Fault Time]])*24</f>
        <v>2.9000000000000004</v>
      </c>
      <c r="Z43" s="67">
        <f>(Grid_BD[[#This Row],[Work Completion time on fault]]-Grid_BD[[#This Row],[Fault Time]])*24</f>
        <v>2.9000000000000004</v>
      </c>
      <c r="AB43" s="7" t="s">
        <v>73</v>
      </c>
      <c r="AC43" s="67">
        <f>IFERROR(Grid_BD[[#This Row],[Plant Equivalent Weightage]]*Grid_BD[[#This Row],[Resolution Time]],"")</f>
        <v>2.9000000000000004</v>
      </c>
      <c r="AD43" s="7">
        <v>0.36</v>
      </c>
      <c r="AE43" s="111">
        <f>Grid_BD[[#This Row],[Lost PoA(kWh/m2)]]*Grid_BD[[#This Row],[DC Capacity Affected (kW)]]*_xlfn.XLOOKUP(Grid_BD[[#This Row],[Month Year]],'Modelling New'!$D:$D,'Modelling New'!$O:$O)</f>
        <v>1960.3170991739089</v>
      </c>
    </row>
    <row r="44" spans="1:31" x14ac:dyDescent="0.3">
      <c r="A44" s="7">
        <f t="shared" si="0"/>
        <v>43</v>
      </c>
      <c r="B44" s="203">
        <v>45817</v>
      </c>
      <c r="C44" s="101">
        <f>YEAR(Grid_BD[[#This Row],[Date]])+IF(MONTH(Grid_BD[[#This Row],[Date]])&gt;=4,1,0)</f>
        <v>2026</v>
      </c>
      <c r="D44" s="7">
        <f>YEAR(Grid_BD[[#This Row],[Date]])</f>
        <v>2025</v>
      </c>
      <c r="E44" s="204" t="s">
        <v>317</v>
      </c>
      <c r="F44" s="204" t="s">
        <v>317</v>
      </c>
      <c r="G44" s="205">
        <f>Grid_BD[[#This Row],[Date]]-DAY(Grid_BD[[#This Row],[Date]])+1</f>
        <v>45809</v>
      </c>
      <c r="H44" s="7">
        <f>DAY(EOMONTH(Grid_BD[[#This Row],[Month Year]],0))</f>
        <v>30</v>
      </c>
      <c r="I44" s="207">
        <f>_xlfn.XLOOKUP(Grid_BD[[#This Row],[Date]],'Raw Data'!$G:$G,'Raw Data'!$I:$I)</f>
        <v>0.27916666666666667</v>
      </c>
      <c r="J44" s="207">
        <f>_xlfn.XLOOKUP(Grid_BD[[#This Row],[Date]],'Raw Data'!$G:$G,'Raw Data'!$J:$J)</f>
        <v>0.78333333333333333</v>
      </c>
      <c r="K44" s="111">
        <f>IFERROR((Grid_BD[[#This Row],[Sunset Time (POA&lt;20 W/m2)]]-Grid_BD[[#This Row],[Sunrise Time (POA&gt;20 W/m2)]])*24,"")</f>
        <v>12.1</v>
      </c>
      <c r="L44" s="7" t="s">
        <v>292</v>
      </c>
      <c r="M44" s="67">
        <v>8020.9</v>
      </c>
      <c r="N44" s="208">
        <f>IFERROR(VLOOKUP(Grid_BD[[#This Row],[Affected Equipment ]],'Basic Data'!$A$2:$C$118,3,0),"")</f>
        <v>1</v>
      </c>
      <c r="O44" s="7" t="s">
        <v>293</v>
      </c>
      <c r="P44" s="7" t="s">
        <v>19</v>
      </c>
      <c r="R44" s="182" t="s">
        <v>294</v>
      </c>
      <c r="S44" s="207">
        <v>0.66527777777777775</v>
      </c>
      <c r="V44" s="207">
        <v>0.67569444444444449</v>
      </c>
      <c r="Y44" s="111">
        <f>(Grid_BD[[#This Row],[Work Completion time on fault]]-Grid_BD[[#This Row],[Fault Time]])*24</f>
        <v>0.25000000000000178</v>
      </c>
      <c r="Z44" s="67">
        <f>(Grid_BD[[#This Row],[Work Completion time on fault]]-Grid_BD[[#This Row],[Fault Time]])*24</f>
        <v>0.25000000000000178</v>
      </c>
      <c r="AB44" s="7" t="s">
        <v>73</v>
      </c>
      <c r="AC44" s="67">
        <f>IFERROR(Grid_BD[[#This Row],[Plant Equivalent Weightage]]*Grid_BD[[#This Row],[Resolution Time]],"")</f>
        <v>0.25000000000000178</v>
      </c>
      <c r="AD44" s="7">
        <v>2.3E-2</v>
      </c>
      <c r="AE44" s="111">
        <f>Grid_BD[[#This Row],[Lost PoA(kWh/m2)]]*Grid_BD[[#This Row],[DC Capacity Affected (kW)]]*_xlfn.XLOOKUP(Grid_BD[[#This Row],[Month Year]],'Modelling New'!$D:$D,'Modelling New'!$O:$O)</f>
        <v>125.24248133611084</v>
      </c>
    </row>
    <row r="45" spans="1:31" x14ac:dyDescent="0.3">
      <c r="A45" s="7">
        <f t="shared" si="0"/>
        <v>44</v>
      </c>
      <c r="B45" s="203">
        <v>45822</v>
      </c>
      <c r="C45" s="101">
        <f>YEAR(Grid_BD[[#This Row],[Date]])+IF(MONTH(Grid_BD[[#This Row],[Date]])&gt;=4,1,0)</f>
        <v>2026</v>
      </c>
      <c r="D45" s="7">
        <f>YEAR(Grid_BD[[#This Row],[Date]])</f>
        <v>2025</v>
      </c>
      <c r="E45" s="204" t="s">
        <v>317</v>
      </c>
      <c r="F45" s="204" t="s">
        <v>317</v>
      </c>
      <c r="G45" s="205">
        <f>Grid_BD[[#This Row],[Date]]-DAY(Grid_BD[[#This Row],[Date]])+1</f>
        <v>45809</v>
      </c>
      <c r="H45" s="7">
        <f>DAY(EOMONTH(Grid_BD[[#This Row],[Month Year]],0))</f>
        <v>30</v>
      </c>
      <c r="I45" s="207">
        <f>_xlfn.XLOOKUP(Grid_BD[[#This Row],[Date]],'Raw Data'!$G:$G,'Raw Data'!$I:$I)</f>
        <v>0.24513888888888888</v>
      </c>
      <c r="J45" s="207">
        <f>_xlfn.XLOOKUP(Grid_BD[[#This Row],[Date]],'Raw Data'!$G:$G,'Raw Data'!$J:$J)</f>
        <v>0.78194444444444444</v>
      </c>
      <c r="K45" s="111">
        <f>IFERROR((Grid_BD[[#This Row],[Sunset Time (POA&lt;20 W/m2)]]-Grid_BD[[#This Row],[Sunrise Time (POA&gt;20 W/m2)]])*24,"")</f>
        <v>12.883333333333333</v>
      </c>
      <c r="L45" s="7" t="s">
        <v>292</v>
      </c>
      <c r="M45" s="67">
        <v>8020.9</v>
      </c>
      <c r="N45" s="208">
        <f>IFERROR(VLOOKUP(Grid_BD[[#This Row],[Affected Equipment ]],'Basic Data'!$A$2:$C$118,3,0),"")</f>
        <v>1</v>
      </c>
      <c r="O45" s="7" t="s">
        <v>293</v>
      </c>
      <c r="P45" s="7" t="s">
        <v>19</v>
      </c>
      <c r="R45" s="182" t="s">
        <v>1192</v>
      </c>
      <c r="S45" s="207">
        <v>0.62638888888888888</v>
      </c>
      <c r="V45" s="207">
        <v>0.80833333333333335</v>
      </c>
      <c r="Y45" s="111">
        <f>(Grid_BD[[#This Row],[Work Completion time on fault]]-Grid_BD[[#This Row],[Fault Time]])*24</f>
        <v>4.3666666666666671</v>
      </c>
      <c r="Z45" s="67">
        <f>(Grid_BD[[#This Row],[Work Completion time on fault]]-Grid_BD[[#This Row],[Fault Time]])*24</f>
        <v>4.3666666666666671</v>
      </c>
      <c r="AB45" s="7" t="s">
        <v>73</v>
      </c>
      <c r="AC45" s="67">
        <f>IFERROR(Grid_BD[[#This Row],[Plant Equivalent Weightage]]*Grid_BD[[#This Row],[Resolution Time]],"")</f>
        <v>4.3666666666666671</v>
      </c>
      <c r="AD45" s="7">
        <v>1.03</v>
      </c>
      <c r="AE45" s="111">
        <f>Grid_BD[[#This Row],[Lost PoA(kWh/m2)]]*Grid_BD[[#This Row],[DC Capacity Affected (kW)]]*_xlfn.XLOOKUP(Grid_BD[[#This Row],[Month Year]],'Modelling New'!$D:$D,'Modelling New'!$O:$O)</f>
        <v>5608.6850337475726</v>
      </c>
    </row>
    <row r="46" spans="1:31" x14ac:dyDescent="0.3">
      <c r="A46" s="7">
        <f t="shared" si="0"/>
        <v>45</v>
      </c>
      <c r="B46" s="203">
        <v>45825</v>
      </c>
      <c r="C46" s="101">
        <f>YEAR(Grid_BD[[#This Row],[Date]])+IF(MONTH(Grid_BD[[#This Row],[Date]])&gt;=4,1,0)</f>
        <v>2026</v>
      </c>
      <c r="D46" s="7">
        <f>YEAR(Grid_BD[[#This Row],[Date]])</f>
        <v>2025</v>
      </c>
      <c r="E46" s="204" t="s">
        <v>317</v>
      </c>
      <c r="F46" s="204" t="s">
        <v>317</v>
      </c>
      <c r="G46" s="205">
        <f>Grid_BD[[#This Row],[Date]]-DAY(Grid_BD[[#This Row],[Date]])+1</f>
        <v>45809</v>
      </c>
      <c r="H46" s="7">
        <f>DAY(EOMONTH(Grid_BD[[#This Row],[Month Year]],0))</f>
        <v>30</v>
      </c>
      <c r="I46" s="207">
        <f>_xlfn.XLOOKUP(Grid_BD[[#This Row],[Date]],'Raw Data'!$G:$G,'Raw Data'!$I:$I)</f>
        <v>0.25277777777777777</v>
      </c>
      <c r="J46" s="207">
        <f>_xlfn.XLOOKUP(Grid_BD[[#This Row],[Date]],'Raw Data'!$G:$G,'Raw Data'!$J:$J)</f>
        <v>0.78263888888888888</v>
      </c>
      <c r="K46" s="111">
        <f>IFERROR((Grid_BD[[#This Row],[Sunset Time (POA&lt;20 W/m2)]]-Grid_BD[[#This Row],[Sunrise Time (POA&gt;20 W/m2)]])*24,"")</f>
        <v>12.716666666666667</v>
      </c>
      <c r="L46" s="7" t="s">
        <v>292</v>
      </c>
      <c r="M46" s="67">
        <v>8020.9</v>
      </c>
      <c r="N46" s="208">
        <f>IFERROR(VLOOKUP(Grid_BD[[#This Row],[Affected Equipment ]],'Basic Data'!$A$2:$C$118,3,0),"")</f>
        <v>1</v>
      </c>
      <c r="O46" s="7" t="s">
        <v>293</v>
      </c>
      <c r="P46" s="7" t="s">
        <v>19</v>
      </c>
      <c r="R46" s="182" t="s">
        <v>294</v>
      </c>
      <c r="S46" s="207">
        <v>0.25694444444444442</v>
      </c>
      <c r="V46" s="207">
        <v>0.29305555555555557</v>
      </c>
      <c r="Y46" s="111">
        <f>(Grid_BD[[#This Row],[Work Completion time on fault]]-Grid_BD[[#This Row],[Fault Time]])*24</f>
        <v>0.86666666666666758</v>
      </c>
      <c r="Z46" s="67">
        <f>(Grid_BD[[#This Row],[Work Completion time on fault]]-Grid_BD[[#This Row],[Fault Time]])*24</f>
        <v>0.86666666666666758</v>
      </c>
      <c r="AB46" s="7" t="s">
        <v>73</v>
      </c>
      <c r="AC46" s="67">
        <f>IFERROR(Grid_BD[[#This Row],[Plant Equivalent Weightage]]*Grid_BD[[#This Row],[Resolution Time]],"")</f>
        <v>0.86666666666666758</v>
      </c>
      <c r="AD46" s="7">
        <v>0.04</v>
      </c>
      <c r="AE46" s="111">
        <f>Grid_BD[[#This Row],[Lost PoA(kWh/m2)]]*Grid_BD[[#This Row],[DC Capacity Affected (kW)]]*_xlfn.XLOOKUP(Grid_BD[[#This Row],[Month Year]],'Modelling New'!$D:$D,'Modelling New'!$O:$O)</f>
        <v>217.81301101932323</v>
      </c>
    </row>
    <row r="47" spans="1:31" x14ac:dyDescent="0.3">
      <c r="A47" s="7">
        <f t="shared" si="0"/>
        <v>46</v>
      </c>
      <c r="B47" s="203">
        <v>45825</v>
      </c>
      <c r="C47" s="101">
        <f>YEAR(Grid_BD[[#This Row],[Date]])+IF(MONTH(Grid_BD[[#This Row],[Date]])&gt;=4,1,0)</f>
        <v>2026</v>
      </c>
      <c r="D47" s="7">
        <f>YEAR(Grid_BD[[#This Row],[Date]])</f>
        <v>2025</v>
      </c>
      <c r="E47" s="204" t="s">
        <v>317</v>
      </c>
      <c r="F47" s="204" t="s">
        <v>317</v>
      </c>
      <c r="G47" s="205">
        <f>Grid_BD[[#This Row],[Date]]-DAY(Grid_BD[[#This Row],[Date]])+1</f>
        <v>45809</v>
      </c>
      <c r="H47" s="7">
        <f>DAY(EOMONTH(Grid_BD[[#This Row],[Month Year]],0))</f>
        <v>30</v>
      </c>
      <c r="I47" s="207">
        <f>_xlfn.XLOOKUP(Grid_BD[[#This Row],[Date]],'Raw Data'!$G:$G,'Raw Data'!$I:$I)</f>
        <v>0.25277777777777777</v>
      </c>
      <c r="J47" s="207">
        <f>_xlfn.XLOOKUP(Grid_BD[[#This Row],[Date]],'Raw Data'!$G:$G,'Raw Data'!$J:$J)</f>
        <v>0.78263888888888888</v>
      </c>
      <c r="K47" s="111">
        <f>IFERROR((Grid_BD[[#This Row],[Sunset Time (POA&lt;20 W/m2)]]-Grid_BD[[#This Row],[Sunrise Time (POA&gt;20 W/m2)]])*24,"")</f>
        <v>12.716666666666667</v>
      </c>
      <c r="L47" s="7" t="s">
        <v>292</v>
      </c>
      <c r="M47" s="67">
        <v>8020.9</v>
      </c>
      <c r="N47" s="208">
        <f>IFERROR(VLOOKUP(Grid_BD[[#This Row],[Affected Equipment ]],'Basic Data'!$A$2:$C$118,3,0),"")</f>
        <v>1</v>
      </c>
      <c r="O47" s="7" t="s">
        <v>293</v>
      </c>
      <c r="P47" s="7" t="s">
        <v>19</v>
      </c>
      <c r="R47" s="182" t="s">
        <v>294</v>
      </c>
      <c r="S47" s="207">
        <v>0.5131944444444444</v>
      </c>
      <c r="V47" s="207">
        <v>0.53194444444444444</v>
      </c>
      <c r="Y47" s="111">
        <f>(Grid_BD[[#This Row],[Work Completion time on fault]]-Grid_BD[[#This Row],[Fault Time]])*24</f>
        <v>0.45000000000000107</v>
      </c>
      <c r="Z47" s="67">
        <f>(Grid_BD[[#This Row],[Work Completion time on fault]]-Grid_BD[[#This Row],[Fault Time]])*24</f>
        <v>0.45000000000000107</v>
      </c>
      <c r="AB47" s="7" t="s">
        <v>73</v>
      </c>
      <c r="AC47" s="67">
        <f>IFERROR(Grid_BD[[#This Row],[Plant Equivalent Weightage]]*Grid_BD[[#This Row],[Resolution Time]],"")</f>
        <v>0.45000000000000107</v>
      </c>
      <c r="AD47" s="7">
        <v>0.32</v>
      </c>
      <c r="AE47" s="111">
        <f>Grid_BD[[#This Row],[Lost PoA(kWh/m2)]]*Grid_BD[[#This Row],[DC Capacity Affected (kW)]]*_xlfn.XLOOKUP(Grid_BD[[#This Row],[Month Year]],'Modelling New'!$D:$D,'Modelling New'!$O:$O)</f>
        <v>1742.5040881545858</v>
      </c>
    </row>
    <row r="48" spans="1:31" x14ac:dyDescent="0.3">
      <c r="A48" s="7">
        <f t="shared" si="0"/>
        <v>47</v>
      </c>
      <c r="B48" s="203">
        <v>45825</v>
      </c>
      <c r="C48" s="101">
        <f>YEAR(Grid_BD[[#This Row],[Date]])+IF(MONTH(Grid_BD[[#This Row],[Date]])&gt;=4,1,0)</f>
        <v>2026</v>
      </c>
      <c r="D48" s="7">
        <f>YEAR(Grid_BD[[#This Row],[Date]])</f>
        <v>2025</v>
      </c>
      <c r="E48" s="204" t="s">
        <v>317</v>
      </c>
      <c r="F48" s="204" t="s">
        <v>317</v>
      </c>
      <c r="G48" s="205">
        <f>Grid_BD[[#This Row],[Date]]-DAY(Grid_BD[[#This Row],[Date]])+1</f>
        <v>45809</v>
      </c>
      <c r="H48" s="7">
        <f>DAY(EOMONTH(Grid_BD[[#This Row],[Month Year]],0))</f>
        <v>30</v>
      </c>
      <c r="I48" s="207">
        <f>_xlfn.XLOOKUP(Grid_BD[[#This Row],[Date]],'Raw Data'!$G:$G,'Raw Data'!$I:$I)</f>
        <v>0.25277777777777777</v>
      </c>
      <c r="J48" s="207">
        <f>_xlfn.XLOOKUP(Grid_BD[[#This Row],[Date]],'Raw Data'!$G:$G,'Raw Data'!$J:$J)</f>
        <v>0.78263888888888888</v>
      </c>
      <c r="K48" s="111">
        <f>IFERROR((Grid_BD[[#This Row],[Sunset Time (POA&lt;20 W/m2)]]-Grid_BD[[#This Row],[Sunrise Time (POA&gt;20 W/m2)]])*24,"")</f>
        <v>12.716666666666667</v>
      </c>
      <c r="L48" s="7" t="s">
        <v>292</v>
      </c>
      <c r="M48" s="67">
        <v>8020.9</v>
      </c>
      <c r="N48" s="208">
        <f>IFERROR(VLOOKUP(Grid_BD[[#This Row],[Affected Equipment ]],'Basic Data'!$A$2:$C$118,3,0),"")</f>
        <v>1</v>
      </c>
      <c r="O48" s="7" t="s">
        <v>293</v>
      </c>
      <c r="P48" s="7" t="s">
        <v>19</v>
      </c>
      <c r="R48" s="182" t="s">
        <v>294</v>
      </c>
      <c r="S48" s="207">
        <v>0.62777777777777777</v>
      </c>
      <c r="V48" s="207">
        <v>0.63611111111111107</v>
      </c>
      <c r="Y48" s="111">
        <f>(Grid_BD[[#This Row],[Work Completion time on fault]]-Grid_BD[[#This Row],[Fault Time]])*24</f>
        <v>0.19999999999999929</v>
      </c>
      <c r="Z48" s="67">
        <f>(Grid_BD[[#This Row],[Work Completion time on fault]]-Grid_BD[[#This Row],[Fault Time]])*24</f>
        <v>0.19999999999999929</v>
      </c>
      <c r="AB48" s="7" t="s">
        <v>73</v>
      </c>
      <c r="AC48" s="67">
        <f>IFERROR(Grid_BD[[#This Row],[Plant Equivalent Weightage]]*Grid_BD[[#This Row],[Resolution Time]],"")</f>
        <v>0.19999999999999929</v>
      </c>
      <c r="AD48" s="7">
        <v>7.0000000000000007E-2</v>
      </c>
      <c r="AE48" s="111">
        <f>Grid_BD[[#This Row],[Lost PoA(kWh/m2)]]*Grid_BD[[#This Row],[DC Capacity Affected (kW)]]*_xlfn.XLOOKUP(Grid_BD[[#This Row],[Month Year]],'Modelling New'!$D:$D,'Modelling New'!$O:$O)</f>
        <v>381.17276928381568</v>
      </c>
    </row>
    <row r="49" spans="1:31" x14ac:dyDescent="0.3">
      <c r="A49" s="7">
        <f t="shared" si="0"/>
        <v>48</v>
      </c>
      <c r="B49" s="203">
        <v>45826</v>
      </c>
      <c r="C49" s="101">
        <f>YEAR(Grid_BD[[#This Row],[Date]])+IF(MONTH(Grid_BD[[#This Row],[Date]])&gt;=4,1,0)</f>
        <v>2026</v>
      </c>
      <c r="D49" s="7">
        <f>YEAR(Grid_BD[[#This Row],[Date]])</f>
        <v>2025</v>
      </c>
      <c r="E49" s="204" t="s">
        <v>317</v>
      </c>
      <c r="F49" s="204" t="s">
        <v>317</v>
      </c>
      <c r="G49" s="205">
        <f>Grid_BD[[#This Row],[Date]]-DAY(Grid_BD[[#This Row],[Date]])+1</f>
        <v>45809</v>
      </c>
      <c r="H49" s="7">
        <f>DAY(EOMONTH(Grid_BD[[#This Row],[Month Year]],0))</f>
        <v>30</v>
      </c>
      <c r="I49" s="207">
        <f>_xlfn.XLOOKUP(Grid_BD[[#This Row],[Date]],'Raw Data'!$G:$G,'Raw Data'!$I:$I)</f>
        <v>0.24930555555555556</v>
      </c>
      <c r="J49" s="207">
        <f>_xlfn.XLOOKUP(Grid_BD[[#This Row],[Date]],'Raw Data'!$G:$G,'Raw Data'!$J:$J)</f>
        <v>0.78472222222222221</v>
      </c>
      <c r="K49" s="111">
        <f>IFERROR((Grid_BD[[#This Row],[Sunset Time (POA&lt;20 W/m2)]]-Grid_BD[[#This Row],[Sunrise Time (POA&gt;20 W/m2)]])*24,"")</f>
        <v>12.85</v>
      </c>
      <c r="L49" s="7" t="s">
        <v>292</v>
      </c>
      <c r="M49" s="67">
        <v>8020.9</v>
      </c>
      <c r="N49" s="208">
        <f>IFERROR(VLOOKUP(Grid_BD[[#This Row],[Affected Equipment ]],'Basic Data'!$A$2:$C$118,3,0),"")</f>
        <v>1</v>
      </c>
      <c r="O49" s="7" t="s">
        <v>293</v>
      </c>
      <c r="P49" s="7" t="s">
        <v>19</v>
      </c>
      <c r="R49" s="182" t="s">
        <v>294</v>
      </c>
      <c r="S49" s="207">
        <v>0.72291666666666665</v>
      </c>
      <c r="V49" s="207">
        <v>0.79513888888888884</v>
      </c>
      <c r="Y49" s="111">
        <f>(Grid_BD[[#This Row],[Work Completion time on fault]]-Grid_BD[[#This Row],[Fault Time]])*24</f>
        <v>1.7333333333333325</v>
      </c>
      <c r="Z49" s="67">
        <f>(Grid_BD[[#This Row],[Work Completion time on fault]]-Grid_BD[[#This Row],[Fault Time]])*24</f>
        <v>1.7333333333333325</v>
      </c>
      <c r="AB49" s="7" t="s">
        <v>73</v>
      </c>
      <c r="AC49" s="67">
        <f>IFERROR(Grid_BD[[#This Row],[Plant Equivalent Weightage]]*Grid_BD[[#This Row],[Resolution Time]],"")</f>
        <v>1.7333333333333325</v>
      </c>
      <c r="AD49" s="7">
        <v>0.12</v>
      </c>
      <c r="AE49" s="111">
        <f>Grid_BD[[#This Row],[Lost PoA(kWh/m2)]]*Grid_BD[[#This Row],[DC Capacity Affected (kW)]]*_xlfn.XLOOKUP(Grid_BD[[#This Row],[Month Year]],'Modelling New'!$D:$D,'Modelling New'!$O:$O)</f>
        <v>653.4390330579696</v>
      </c>
    </row>
    <row r="50" spans="1:31" x14ac:dyDescent="0.3">
      <c r="A50" s="7">
        <f t="shared" si="0"/>
        <v>49</v>
      </c>
      <c r="B50" s="203">
        <v>45827</v>
      </c>
      <c r="C50" s="101">
        <f>YEAR(Grid_BD[[#This Row],[Date]])+IF(MONTH(Grid_BD[[#This Row],[Date]])&gt;=4,1,0)</f>
        <v>2026</v>
      </c>
      <c r="D50" s="7">
        <f>YEAR(Grid_BD[[#This Row],[Date]])</f>
        <v>2025</v>
      </c>
      <c r="E50" s="204" t="s">
        <v>317</v>
      </c>
      <c r="F50" s="204" t="s">
        <v>317</v>
      </c>
      <c r="G50" s="205">
        <f>Grid_BD[[#This Row],[Date]]-DAY(Grid_BD[[#This Row],[Date]])+1</f>
        <v>45809</v>
      </c>
      <c r="H50" s="7">
        <f>DAY(EOMONTH(Grid_BD[[#This Row],[Month Year]],0))</f>
        <v>30</v>
      </c>
      <c r="I50" s="207">
        <f>_xlfn.XLOOKUP(Grid_BD[[#This Row],[Date]],'Raw Data'!$G:$G,'Raw Data'!$I:$I)</f>
        <v>0.24513888888888888</v>
      </c>
      <c r="J50" s="207">
        <f>_xlfn.XLOOKUP(Grid_BD[[#This Row],[Date]],'Raw Data'!$G:$G,'Raw Data'!$J:$J)</f>
        <v>0.77986111111111112</v>
      </c>
      <c r="K50" s="111">
        <f>IFERROR((Grid_BD[[#This Row],[Sunset Time (POA&lt;20 W/m2)]]-Grid_BD[[#This Row],[Sunrise Time (POA&gt;20 W/m2)]])*24,"")</f>
        <v>12.833333333333332</v>
      </c>
      <c r="L50" s="7" t="s">
        <v>292</v>
      </c>
      <c r="M50" s="67">
        <v>8020.9</v>
      </c>
      <c r="N50" s="208">
        <f>IFERROR(VLOOKUP(Grid_BD[[#This Row],[Affected Equipment ]],'Basic Data'!$A$2:$C$118,3,0),"")</f>
        <v>1</v>
      </c>
      <c r="O50" s="7" t="s">
        <v>293</v>
      </c>
      <c r="P50" s="7" t="s">
        <v>19</v>
      </c>
      <c r="R50" s="182" t="s">
        <v>294</v>
      </c>
      <c r="S50" s="207">
        <v>0.47708333333333336</v>
      </c>
      <c r="V50" s="207">
        <v>0.53541666666666665</v>
      </c>
      <c r="Y50" s="111">
        <f>(Grid_BD[[#This Row],[Work Completion time on fault]]-Grid_BD[[#This Row],[Fault Time]])*24</f>
        <v>1.399999999999999</v>
      </c>
      <c r="Z50" s="67">
        <f>(Grid_BD[[#This Row],[Work Completion time on fault]]-Grid_BD[[#This Row],[Fault Time]])*24</f>
        <v>1.399999999999999</v>
      </c>
      <c r="AB50" s="7" t="s">
        <v>73</v>
      </c>
      <c r="AC50" s="67">
        <f>IFERROR(Grid_BD[[#This Row],[Plant Equivalent Weightage]]*Grid_BD[[#This Row],[Resolution Time]],"")</f>
        <v>1.399999999999999</v>
      </c>
      <c r="AD50" s="7">
        <v>0.84</v>
      </c>
      <c r="AE50" s="111">
        <f>Grid_BD[[#This Row],[Lost PoA(kWh/m2)]]*Grid_BD[[#This Row],[DC Capacity Affected (kW)]]*_xlfn.XLOOKUP(Grid_BD[[#This Row],[Month Year]],'Modelling New'!$D:$D,'Modelling New'!$O:$O)</f>
        <v>4574.0732314057877</v>
      </c>
    </row>
    <row r="51" spans="1:31" x14ac:dyDescent="0.3">
      <c r="A51" s="7">
        <f t="shared" si="0"/>
        <v>50</v>
      </c>
      <c r="B51" s="203">
        <v>45832</v>
      </c>
      <c r="C51" s="101">
        <f>YEAR(Grid_BD[[#This Row],[Date]])+IF(MONTH(Grid_BD[[#This Row],[Date]])&gt;=4,1,0)</f>
        <v>2026</v>
      </c>
      <c r="D51" s="7">
        <f>YEAR(Grid_BD[[#This Row],[Date]])</f>
        <v>2025</v>
      </c>
      <c r="E51" s="204" t="s">
        <v>317</v>
      </c>
      <c r="F51" s="204" t="s">
        <v>317</v>
      </c>
      <c r="G51" s="205">
        <f>Grid_BD[[#This Row],[Date]]-DAY(Grid_BD[[#This Row],[Date]])+1</f>
        <v>45809</v>
      </c>
      <c r="H51" s="7">
        <f>DAY(EOMONTH(Grid_BD[[#This Row],[Month Year]],0))</f>
        <v>30</v>
      </c>
      <c r="I51" s="207">
        <f>_xlfn.XLOOKUP(Grid_BD[[#This Row],[Date]],'Raw Data'!$G:$G,'Raw Data'!$I:$I)</f>
        <v>0.25</v>
      </c>
      <c r="J51" s="207">
        <f>_xlfn.XLOOKUP(Grid_BD[[#This Row],[Date]],'Raw Data'!$G:$G,'Raw Data'!$J:$J)</f>
        <v>0.78125</v>
      </c>
      <c r="K51" s="111">
        <f>IFERROR((Grid_BD[[#This Row],[Sunset Time (POA&lt;20 W/m2)]]-Grid_BD[[#This Row],[Sunrise Time (POA&gt;20 W/m2)]])*24,"")</f>
        <v>12.75</v>
      </c>
      <c r="L51" s="7" t="s">
        <v>292</v>
      </c>
      <c r="M51" s="67">
        <v>8020.9</v>
      </c>
      <c r="N51" s="208">
        <f>IFERROR(VLOOKUP(Grid_BD[[#This Row],[Affected Equipment ]],'Basic Data'!$A$2:$C$118,3,0),"")</f>
        <v>1</v>
      </c>
      <c r="O51" s="7" t="s">
        <v>293</v>
      </c>
      <c r="P51" s="7" t="s">
        <v>19</v>
      </c>
      <c r="R51" s="182" t="s">
        <v>1193</v>
      </c>
      <c r="S51" s="207">
        <v>0.57777777777777772</v>
      </c>
      <c r="V51" s="207">
        <v>0.67847222222222225</v>
      </c>
      <c r="Y51" s="111">
        <f>(Grid_BD[[#This Row],[Work Completion time on fault]]-Grid_BD[[#This Row],[Fault Time]])*24</f>
        <v>2.4166666666666687</v>
      </c>
      <c r="Z51" s="67">
        <f>(Grid_BD[[#This Row],[Work Completion time on fault]]-Grid_BD[[#This Row],[Fault Time]])*24</f>
        <v>2.4166666666666687</v>
      </c>
      <c r="AB51" s="7" t="s">
        <v>73</v>
      </c>
      <c r="AC51" s="67">
        <f>IFERROR(Grid_BD[[#This Row],[Plant Equivalent Weightage]]*Grid_BD[[#This Row],[Resolution Time]],"")</f>
        <v>2.4166666666666687</v>
      </c>
      <c r="AD51" s="7">
        <v>0.87</v>
      </c>
      <c r="AE51" s="111">
        <f>Grid_BD[[#This Row],[Lost PoA(kWh/m2)]]*Grid_BD[[#This Row],[DC Capacity Affected (kW)]]*_xlfn.XLOOKUP(Grid_BD[[#This Row],[Month Year]],'Modelling New'!$D:$D,'Modelling New'!$O:$O)</f>
        <v>4737.4329896702802</v>
      </c>
    </row>
    <row r="52" spans="1:31" x14ac:dyDescent="0.3">
      <c r="A52" s="7">
        <f t="shared" si="0"/>
        <v>51</v>
      </c>
      <c r="B52" s="203">
        <v>45833</v>
      </c>
      <c r="C52" s="101">
        <f>YEAR(Grid_BD[[#This Row],[Date]])+IF(MONTH(Grid_BD[[#This Row],[Date]])&gt;=4,1,0)</f>
        <v>2026</v>
      </c>
      <c r="D52" s="7">
        <f>YEAR(Grid_BD[[#This Row],[Date]])</f>
        <v>2025</v>
      </c>
      <c r="E52" s="204" t="s">
        <v>317</v>
      </c>
      <c r="F52" s="204" t="s">
        <v>317</v>
      </c>
      <c r="G52" s="205">
        <f>Grid_BD[[#This Row],[Date]]-DAY(Grid_BD[[#This Row],[Date]])+1</f>
        <v>45809</v>
      </c>
      <c r="H52" s="7">
        <f>DAY(EOMONTH(Grid_BD[[#This Row],[Month Year]],0))</f>
        <v>30</v>
      </c>
      <c r="I52" s="207">
        <f>_xlfn.XLOOKUP(Grid_BD[[#This Row],[Date]],'Raw Data'!$G:$G,'Raw Data'!$I:$I)</f>
        <v>0.25277777777777777</v>
      </c>
      <c r="J52" s="207">
        <f>_xlfn.XLOOKUP(Grid_BD[[#This Row],[Date]],'Raw Data'!$G:$G,'Raw Data'!$J:$J)</f>
        <v>0.77777777777777779</v>
      </c>
      <c r="K52" s="111">
        <f>IFERROR((Grid_BD[[#This Row],[Sunset Time (POA&lt;20 W/m2)]]-Grid_BD[[#This Row],[Sunrise Time (POA&gt;20 W/m2)]])*24,"")</f>
        <v>12.600000000000001</v>
      </c>
      <c r="L52" s="7" t="s">
        <v>292</v>
      </c>
      <c r="M52" s="67">
        <v>8020.9</v>
      </c>
      <c r="N52" s="208">
        <f>IFERROR(VLOOKUP(Grid_BD[[#This Row],[Affected Equipment ]],'Basic Data'!$A$2:$C$118,3,0),"")</f>
        <v>1</v>
      </c>
      <c r="O52" s="7" t="s">
        <v>293</v>
      </c>
      <c r="P52" s="7" t="s">
        <v>19</v>
      </c>
      <c r="R52" s="182" t="s">
        <v>294</v>
      </c>
      <c r="S52" s="207">
        <v>0.52638888888888891</v>
      </c>
      <c r="V52" s="207">
        <v>0.5395833333333333</v>
      </c>
      <c r="Y52" s="111">
        <f>(Grid_BD[[#This Row],[Work Completion time on fault]]-Grid_BD[[#This Row],[Fault Time]])*24</f>
        <v>0.31666666666666554</v>
      </c>
      <c r="Z52" s="67">
        <f>(Grid_BD[[#This Row],[Work Completion time on fault]]-Grid_BD[[#This Row],[Fault Time]])*24</f>
        <v>0.31666666666666554</v>
      </c>
      <c r="AB52" s="7" t="s">
        <v>73</v>
      </c>
      <c r="AC52" s="67">
        <f>IFERROR(Grid_BD[[#This Row],[Plant Equivalent Weightage]]*Grid_BD[[#This Row],[Resolution Time]],"")</f>
        <v>0.31666666666666554</v>
      </c>
      <c r="AD52" s="7">
        <v>0.18</v>
      </c>
      <c r="AE52" s="111">
        <f>Grid_BD[[#This Row],[Lost PoA(kWh/m2)]]*Grid_BD[[#This Row],[DC Capacity Affected (kW)]]*_xlfn.XLOOKUP(Grid_BD[[#This Row],[Month Year]],'Modelling New'!$D:$D,'Modelling New'!$O:$O)</f>
        <v>980.15854958695445</v>
      </c>
    </row>
    <row r="53" spans="1:31" x14ac:dyDescent="0.3">
      <c r="A53" s="7">
        <f t="shared" si="0"/>
        <v>52</v>
      </c>
      <c r="B53" s="203">
        <v>45833</v>
      </c>
      <c r="C53" s="101">
        <f>YEAR(Grid_BD[[#This Row],[Date]])+IF(MONTH(Grid_BD[[#This Row],[Date]])&gt;=4,1,0)</f>
        <v>2026</v>
      </c>
      <c r="D53" s="7">
        <f>YEAR(Grid_BD[[#This Row],[Date]])</f>
        <v>2025</v>
      </c>
      <c r="E53" s="204" t="s">
        <v>317</v>
      </c>
      <c r="F53" s="204" t="s">
        <v>317</v>
      </c>
      <c r="G53" s="205">
        <f>Grid_BD[[#This Row],[Date]]-DAY(Grid_BD[[#This Row],[Date]])+1</f>
        <v>45809</v>
      </c>
      <c r="H53" s="7">
        <f>DAY(EOMONTH(Grid_BD[[#This Row],[Month Year]],0))</f>
        <v>30</v>
      </c>
      <c r="I53" s="207">
        <f>_xlfn.XLOOKUP(Grid_BD[[#This Row],[Date]],'Raw Data'!$G:$G,'Raw Data'!$I:$I)</f>
        <v>0.25277777777777777</v>
      </c>
      <c r="J53" s="207">
        <f>_xlfn.XLOOKUP(Grid_BD[[#This Row],[Date]],'Raw Data'!$G:$G,'Raw Data'!$J:$J)</f>
        <v>0.77777777777777779</v>
      </c>
      <c r="K53" s="111">
        <f>IFERROR((Grid_BD[[#This Row],[Sunset Time (POA&lt;20 W/m2)]]-Grid_BD[[#This Row],[Sunrise Time (POA&gt;20 W/m2)]])*24,"")</f>
        <v>12.600000000000001</v>
      </c>
      <c r="L53" s="7" t="s">
        <v>292</v>
      </c>
      <c r="M53" s="67">
        <v>8020.9</v>
      </c>
      <c r="N53" s="208">
        <f>IFERROR(VLOOKUP(Grid_BD[[#This Row],[Affected Equipment ]],'Basic Data'!$A$2:$C$118,3,0),"")</f>
        <v>1</v>
      </c>
      <c r="O53" s="7" t="s">
        <v>293</v>
      </c>
      <c r="P53" s="7" t="s">
        <v>19</v>
      </c>
      <c r="R53" s="182" t="s">
        <v>294</v>
      </c>
      <c r="S53" s="207">
        <v>0.57777777777777772</v>
      </c>
      <c r="V53" s="207">
        <v>0.58263888888888893</v>
      </c>
      <c r="Y53" s="111">
        <f>(Grid_BD[[#This Row],[Work Completion time on fault]]-Grid_BD[[#This Row],[Fault Time]])*24</f>
        <v>0.11666666666666892</v>
      </c>
      <c r="Z53" s="67">
        <f>(Grid_BD[[#This Row],[Work Completion time on fault]]-Grid_BD[[#This Row],[Fault Time]])*24</f>
        <v>0.11666666666666892</v>
      </c>
      <c r="AB53" s="7" t="s">
        <v>73</v>
      </c>
      <c r="AC53" s="67">
        <f>IFERROR(Grid_BD[[#This Row],[Plant Equivalent Weightage]]*Grid_BD[[#This Row],[Resolution Time]],"")</f>
        <v>0.11666666666666892</v>
      </c>
      <c r="AD53" s="7">
        <v>0.1</v>
      </c>
      <c r="AE53" s="111">
        <f>Grid_BD[[#This Row],[Lost PoA(kWh/m2)]]*Grid_BD[[#This Row],[DC Capacity Affected (kW)]]*_xlfn.XLOOKUP(Grid_BD[[#This Row],[Month Year]],'Modelling New'!$D:$D,'Modelling New'!$O:$O)</f>
        <v>544.53252754830805</v>
      </c>
    </row>
    <row r="54" spans="1:31" x14ac:dyDescent="0.3">
      <c r="A54" s="7">
        <f t="shared" si="0"/>
        <v>53</v>
      </c>
      <c r="B54" s="203">
        <v>45836</v>
      </c>
      <c r="C54" s="101">
        <f>YEAR(Grid_BD[[#This Row],[Date]])+IF(MONTH(Grid_BD[[#This Row],[Date]])&gt;=4,1,0)</f>
        <v>2026</v>
      </c>
      <c r="D54" s="7">
        <f>YEAR(Grid_BD[[#This Row],[Date]])</f>
        <v>2025</v>
      </c>
      <c r="E54" s="204" t="s">
        <v>317</v>
      </c>
      <c r="F54" s="204" t="s">
        <v>317</v>
      </c>
      <c r="G54" s="205">
        <f>Grid_BD[[#This Row],[Date]]-DAY(Grid_BD[[#This Row],[Date]])+1</f>
        <v>45809</v>
      </c>
      <c r="H54" s="7">
        <f>DAY(EOMONTH(Grid_BD[[#This Row],[Month Year]],0))</f>
        <v>30</v>
      </c>
      <c r="I54" s="207">
        <f>_xlfn.XLOOKUP(Grid_BD[[#This Row],[Date]],'Raw Data'!$G:$G,'Raw Data'!$I:$I)</f>
        <v>0.24930555555555556</v>
      </c>
      <c r="J54" s="207">
        <f>_xlfn.XLOOKUP(Grid_BD[[#This Row],[Date]],'Raw Data'!$G:$G,'Raw Data'!$J:$J)</f>
        <v>0.78472222222222221</v>
      </c>
      <c r="K54" s="111">
        <f>IFERROR((Grid_BD[[#This Row],[Sunset Time (POA&lt;20 W/m2)]]-Grid_BD[[#This Row],[Sunrise Time (POA&gt;20 W/m2)]])*24,"")</f>
        <v>12.85</v>
      </c>
      <c r="L54" s="7" t="s">
        <v>292</v>
      </c>
      <c r="M54" s="67">
        <v>8020.9</v>
      </c>
      <c r="N54" s="208">
        <f>IFERROR(VLOOKUP(Grid_BD[[#This Row],[Affected Equipment ]],'Basic Data'!$A$2:$C$118,3,0),"")</f>
        <v>1</v>
      </c>
      <c r="O54" s="7" t="s">
        <v>293</v>
      </c>
      <c r="P54" s="7" t="s">
        <v>19</v>
      </c>
      <c r="R54" s="182" t="s">
        <v>294</v>
      </c>
      <c r="S54" s="207">
        <v>0.69930555555555551</v>
      </c>
      <c r="V54" s="207">
        <v>0.71111111111111114</v>
      </c>
      <c r="Y54" s="111">
        <f>(Grid_BD[[#This Row],[Work Completion time on fault]]-Grid_BD[[#This Row],[Fault Time]])*24</f>
        <v>0.28333333333333499</v>
      </c>
      <c r="Z54" s="67">
        <f>(Grid_BD[[#This Row],[Work Completion time on fault]]-Grid_BD[[#This Row],[Fault Time]])*24</f>
        <v>0.28333333333333499</v>
      </c>
      <c r="AB54" s="7" t="s">
        <v>73</v>
      </c>
      <c r="AC54" s="67">
        <f>IFERROR(Grid_BD[[#This Row],[Plant Equivalent Weightage]]*Grid_BD[[#This Row],[Resolution Time]],"")</f>
        <v>0.28333333333333499</v>
      </c>
      <c r="AD54" s="7">
        <v>0.06</v>
      </c>
      <c r="AE54" s="111">
        <f>Grid_BD[[#This Row],[Lost PoA(kWh/m2)]]*Grid_BD[[#This Row],[DC Capacity Affected (kW)]]*_xlfn.XLOOKUP(Grid_BD[[#This Row],[Month Year]],'Modelling New'!$D:$D,'Modelling New'!$O:$O)</f>
        <v>326.7195165289848</v>
      </c>
    </row>
    <row r="55" spans="1:31" x14ac:dyDescent="0.3">
      <c r="A55" s="7">
        <f t="shared" si="0"/>
        <v>54</v>
      </c>
      <c r="B55" s="203">
        <v>45841</v>
      </c>
      <c r="C55" s="101">
        <f>YEAR(Grid_BD[[#This Row],[Date]])+IF(MONTH(Grid_BD[[#This Row],[Date]])&gt;=4,1,0)</f>
        <v>2026</v>
      </c>
      <c r="D55" s="7">
        <f>YEAR(Grid_BD[[#This Row],[Date]])</f>
        <v>2025</v>
      </c>
      <c r="E55" s="204" t="s">
        <v>317</v>
      </c>
      <c r="F55" s="204" t="s">
        <v>317</v>
      </c>
      <c r="G55" s="205">
        <f>Grid_BD[[#This Row],[Date]]-DAY(Grid_BD[[#This Row],[Date]])+1</f>
        <v>45839</v>
      </c>
      <c r="H55" s="7">
        <f>DAY(EOMONTH(Grid_BD[[#This Row],[Month Year]],0))</f>
        <v>31</v>
      </c>
      <c r="I55" s="207">
        <f>_xlfn.XLOOKUP(Grid_BD[[#This Row],[Date]],'Raw Data'!$G:$G,'Raw Data'!$I:$I)</f>
        <v>0.26944444444444443</v>
      </c>
      <c r="J55" s="207">
        <f>_xlfn.XLOOKUP(Grid_BD[[#This Row],[Date]],'Raw Data'!$G:$G,'Raw Data'!$J:$J)</f>
        <v>0.77500000000000002</v>
      </c>
      <c r="K55" s="111">
        <f>IFERROR((Grid_BD[[#This Row],[Sunset Time (POA&lt;20 W/m2)]]-Grid_BD[[#This Row],[Sunrise Time (POA&gt;20 W/m2)]])*24,"")</f>
        <v>12.133333333333333</v>
      </c>
      <c r="L55" s="7" t="s">
        <v>292</v>
      </c>
      <c r="M55" s="67">
        <v>8020.9</v>
      </c>
      <c r="N55" s="208">
        <f>IFERROR(VLOOKUP(Grid_BD[[#This Row],[Affected Equipment ]],'Basic Data'!$A$2:$C$118,3,0),"")</f>
        <v>1</v>
      </c>
      <c r="O55" s="7" t="s">
        <v>293</v>
      </c>
      <c r="P55" s="7" t="s">
        <v>19</v>
      </c>
      <c r="R55" s="182" t="s">
        <v>294</v>
      </c>
      <c r="S55" s="207">
        <v>0.55069444444444449</v>
      </c>
      <c r="V55" s="207">
        <v>0.56319444444444444</v>
      </c>
      <c r="Y55" s="111">
        <f>(Grid_BD[[#This Row],[Work Completion time on fault]]-Grid_BD[[#This Row],[Fault Time]])*24</f>
        <v>0.29999999999999893</v>
      </c>
      <c r="Z55" s="67">
        <f>(Grid_BD[[#This Row],[Work Completion time on fault]]-Grid_BD[[#This Row],[Fault Time]])*24</f>
        <v>0.29999999999999893</v>
      </c>
      <c r="AB55" s="7" t="s">
        <v>73</v>
      </c>
      <c r="AC55" s="67">
        <f>IFERROR(Grid_BD[[#This Row],[Plant Equivalent Weightage]]*Grid_BD[[#This Row],[Resolution Time]],"")</f>
        <v>0.29999999999999893</v>
      </c>
      <c r="AD55" s="7">
        <v>0.06</v>
      </c>
      <c r="AE55" s="111">
        <f>Grid_BD[[#This Row],[Lost PoA(kWh/m2)]]*Grid_BD[[#This Row],[DC Capacity Affected (kW)]]*_xlfn.XLOOKUP(Grid_BD[[#This Row],[Month Year]],'Modelling New'!$D:$D,'Modelling New'!$O:$O)</f>
        <v>340.10929344218749</v>
      </c>
    </row>
    <row r="56" spans="1:31" x14ac:dyDescent="0.3">
      <c r="A56" s="7">
        <f t="shared" si="0"/>
        <v>55</v>
      </c>
      <c r="B56" s="203">
        <v>45844</v>
      </c>
      <c r="C56" s="101">
        <f>YEAR(Grid_BD[[#This Row],[Date]])+IF(MONTH(Grid_BD[[#This Row],[Date]])&gt;=4,1,0)</f>
        <v>2026</v>
      </c>
      <c r="D56" s="7">
        <f>YEAR(Grid_BD[[#This Row],[Date]])</f>
        <v>2025</v>
      </c>
      <c r="E56" s="204" t="s">
        <v>317</v>
      </c>
      <c r="F56" s="204" t="s">
        <v>317</v>
      </c>
      <c r="G56" s="205">
        <f>Grid_BD[[#This Row],[Date]]-DAY(Grid_BD[[#This Row],[Date]])+1</f>
        <v>45839</v>
      </c>
      <c r="H56" s="7">
        <f>DAY(EOMONTH(Grid_BD[[#This Row],[Month Year]],0))</f>
        <v>31</v>
      </c>
      <c r="I56" s="207">
        <f>_xlfn.XLOOKUP(Grid_BD[[#This Row],[Date]],'Raw Data'!$G:$G,'Raw Data'!$I:$I)</f>
        <v>0.25486111111111109</v>
      </c>
      <c r="J56" s="207">
        <f>_xlfn.XLOOKUP(Grid_BD[[#This Row],[Date]],'Raw Data'!$G:$G,'Raw Data'!$J:$J)</f>
        <v>0.78055555555555556</v>
      </c>
      <c r="K56" s="111">
        <f>IFERROR((Grid_BD[[#This Row],[Sunset Time (POA&lt;20 W/m2)]]-Grid_BD[[#This Row],[Sunrise Time (POA&gt;20 W/m2)]])*24,"")</f>
        <v>12.616666666666667</v>
      </c>
      <c r="L56" s="7" t="s">
        <v>292</v>
      </c>
      <c r="M56" s="67">
        <v>8020.9</v>
      </c>
      <c r="N56" s="208">
        <f>IFERROR(VLOOKUP(Grid_BD[[#This Row],[Affected Equipment ]],'Basic Data'!$A$2:$C$118,3,0),"")</f>
        <v>1</v>
      </c>
      <c r="O56" s="7" t="s">
        <v>293</v>
      </c>
      <c r="P56" s="7" t="s">
        <v>19</v>
      </c>
      <c r="R56" s="182" t="s">
        <v>294</v>
      </c>
      <c r="S56" s="207">
        <v>0.41041666666666665</v>
      </c>
      <c r="V56" s="207">
        <v>0.41736111111111113</v>
      </c>
      <c r="Y56" s="111">
        <f>(Grid_BD[[#This Row],[Work Completion time on fault]]-Grid_BD[[#This Row],[Fault Time]])*24</f>
        <v>0.16666666666666741</v>
      </c>
      <c r="Z56" s="67">
        <f>(Grid_BD[[#This Row],[Work Completion time on fault]]-Grid_BD[[#This Row],[Fault Time]])*24</f>
        <v>0.16666666666666741</v>
      </c>
      <c r="AB56" s="7" t="s">
        <v>73</v>
      </c>
      <c r="AC56" s="67">
        <f>IFERROR(Grid_BD[[#This Row],[Plant Equivalent Weightage]]*Grid_BD[[#This Row],[Resolution Time]],"")</f>
        <v>0.16666666666666741</v>
      </c>
      <c r="AD56" s="7">
        <v>0.13</v>
      </c>
      <c r="AE56" s="111">
        <f>Grid_BD[[#This Row],[Lost PoA(kWh/m2)]]*Grid_BD[[#This Row],[DC Capacity Affected (kW)]]*_xlfn.XLOOKUP(Grid_BD[[#This Row],[Month Year]],'Modelling New'!$D:$D,'Modelling New'!$O:$O)</f>
        <v>736.90346912473979</v>
      </c>
    </row>
    <row r="57" spans="1:31" x14ac:dyDescent="0.3">
      <c r="A57" s="7">
        <f t="shared" si="0"/>
        <v>56</v>
      </c>
      <c r="B57" s="203">
        <v>45849</v>
      </c>
      <c r="C57" s="101">
        <f>YEAR(Grid_BD[[#This Row],[Date]])+IF(MONTH(Grid_BD[[#This Row],[Date]])&gt;=4,1,0)</f>
        <v>2026</v>
      </c>
      <c r="D57" s="7">
        <f>YEAR(Grid_BD[[#This Row],[Date]])</f>
        <v>2025</v>
      </c>
      <c r="E57" s="204" t="s">
        <v>317</v>
      </c>
      <c r="F57" s="204" t="s">
        <v>317</v>
      </c>
      <c r="G57" s="205">
        <f>Grid_BD[[#This Row],[Date]]-DAY(Grid_BD[[#This Row],[Date]])+1</f>
        <v>45839</v>
      </c>
      <c r="H57" s="7">
        <f>DAY(EOMONTH(Grid_BD[[#This Row],[Month Year]],0))</f>
        <v>31</v>
      </c>
      <c r="I57" s="207">
        <f>_xlfn.XLOOKUP(Grid_BD[[#This Row],[Date]],'Raw Data'!$G:$G,'Raw Data'!$I:$I)</f>
        <v>0.25208333333333333</v>
      </c>
      <c r="J57" s="207">
        <f>_xlfn.XLOOKUP(Grid_BD[[#This Row],[Date]],'Raw Data'!$G:$G,'Raw Data'!$J:$J)</f>
        <v>0.77708333333333335</v>
      </c>
      <c r="K57" s="111">
        <f>IFERROR((Grid_BD[[#This Row],[Sunset Time (POA&lt;20 W/m2)]]-Grid_BD[[#This Row],[Sunrise Time (POA&gt;20 W/m2)]])*24,"")</f>
        <v>12.600000000000001</v>
      </c>
      <c r="L57" s="7" t="s">
        <v>292</v>
      </c>
      <c r="M57" s="67">
        <v>8020.9</v>
      </c>
      <c r="N57" s="208">
        <f>IFERROR(VLOOKUP(Grid_BD[[#This Row],[Affected Equipment ]],'Basic Data'!$A$2:$C$118,3,0),"")</f>
        <v>1</v>
      </c>
      <c r="O57" s="7" t="s">
        <v>293</v>
      </c>
      <c r="P57" s="7" t="s">
        <v>19</v>
      </c>
      <c r="R57" s="182" t="s">
        <v>294</v>
      </c>
      <c r="S57" s="207">
        <v>0.55000000000000004</v>
      </c>
      <c r="V57" s="207">
        <v>0.55625000000000002</v>
      </c>
      <c r="Y57" s="111">
        <f>(Grid_BD[[#This Row],[Work Completion time on fault]]-Grid_BD[[#This Row],[Fault Time]])*24</f>
        <v>0.14999999999999947</v>
      </c>
      <c r="Z57" s="67">
        <f>(Grid_BD[[#This Row],[Work Completion time on fault]]-Grid_BD[[#This Row],[Fault Time]])*24</f>
        <v>0.14999999999999947</v>
      </c>
      <c r="AB57" s="7" t="s">
        <v>73</v>
      </c>
      <c r="AC57" s="67">
        <f>IFERROR(Grid_BD[[#This Row],[Plant Equivalent Weightage]]*Grid_BD[[#This Row],[Resolution Time]],"")</f>
        <v>0.14999999999999947</v>
      </c>
      <c r="AD57" s="7">
        <v>0.13</v>
      </c>
      <c r="AE57" s="111">
        <f>Grid_BD[[#This Row],[Lost PoA(kWh/m2)]]*Grid_BD[[#This Row],[DC Capacity Affected (kW)]]*_xlfn.XLOOKUP(Grid_BD[[#This Row],[Month Year]],'Modelling New'!$D:$D,'Modelling New'!$O:$O)</f>
        <v>736.90346912473979</v>
      </c>
    </row>
    <row r="58" spans="1:31" x14ac:dyDescent="0.3">
      <c r="A58" s="7">
        <f t="shared" si="0"/>
        <v>57</v>
      </c>
      <c r="B58" s="203">
        <v>45850</v>
      </c>
      <c r="C58" s="101">
        <f>YEAR(Grid_BD[[#This Row],[Date]])+IF(MONTH(Grid_BD[[#This Row],[Date]])&gt;=4,1,0)</f>
        <v>2026</v>
      </c>
      <c r="D58" s="7">
        <f>YEAR(Grid_BD[[#This Row],[Date]])</f>
        <v>2025</v>
      </c>
      <c r="E58" s="204" t="s">
        <v>317</v>
      </c>
      <c r="F58" s="204" t="s">
        <v>317</v>
      </c>
      <c r="G58" s="205">
        <f>Grid_BD[[#This Row],[Date]]-DAY(Grid_BD[[#This Row],[Date]])+1</f>
        <v>45839</v>
      </c>
      <c r="H58" s="7">
        <f>DAY(EOMONTH(Grid_BD[[#This Row],[Month Year]],0))</f>
        <v>31</v>
      </c>
      <c r="I58" s="207">
        <f>_xlfn.XLOOKUP(Grid_BD[[#This Row],[Date]],'Raw Data'!$G:$G,'Raw Data'!$I:$I)</f>
        <v>0.25555555555555554</v>
      </c>
      <c r="J58" s="207">
        <f>_xlfn.XLOOKUP(Grid_BD[[#This Row],[Date]],'Raw Data'!$G:$G,'Raw Data'!$J:$J)</f>
        <v>0.78263888888888888</v>
      </c>
      <c r="K58" s="111">
        <f>IFERROR((Grid_BD[[#This Row],[Sunset Time (POA&lt;20 W/m2)]]-Grid_BD[[#This Row],[Sunrise Time (POA&gt;20 W/m2)]])*24,"")</f>
        <v>12.65</v>
      </c>
      <c r="L58" s="7" t="s">
        <v>292</v>
      </c>
      <c r="M58" s="67">
        <v>8020.9</v>
      </c>
      <c r="N58" s="208">
        <f>IFERROR(VLOOKUP(Grid_BD[[#This Row],[Affected Equipment ]],'Basic Data'!$A$2:$C$118,3,0),"")</f>
        <v>1</v>
      </c>
      <c r="O58" s="7" t="s">
        <v>293</v>
      </c>
      <c r="P58" s="7" t="s">
        <v>19</v>
      </c>
      <c r="R58" s="182" t="s">
        <v>294</v>
      </c>
      <c r="S58" s="207">
        <v>0.5493055555555556</v>
      </c>
      <c r="V58" s="207">
        <v>0.57291666666666663</v>
      </c>
      <c r="Y58" s="111">
        <f>(Grid_BD[[#This Row],[Work Completion time on fault]]-Grid_BD[[#This Row],[Fault Time]])*24</f>
        <v>0.56666666666666465</v>
      </c>
      <c r="Z58" s="67">
        <f>(Grid_BD[[#This Row],[Work Completion time on fault]]-Grid_BD[[#This Row],[Fault Time]])*24</f>
        <v>0.56666666666666465</v>
      </c>
      <c r="AB58" s="7" t="s">
        <v>73</v>
      </c>
      <c r="AC58" s="67">
        <f>IFERROR(Grid_BD[[#This Row],[Plant Equivalent Weightage]]*Grid_BD[[#This Row],[Resolution Time]],"")</f>
        <v>0.56666666666666465</v>
      </c>
      <c r="AD58" s="7">
        <v>0.26</v>
      </c>
      <c r="AE58" s="111">
        <f>Grid_BD[[#This Row],[Lost PoA(kWh/m2)]]*Grid_BD[[#This Row],[DC Capacity Affected (kW)]]*_xlfn.XLOOKUP(Grid_BD[[#This Row],[Month Year]],'Modelling New'!$D:$D,'Modelling New'!$O:$O)</f>
        <v>1473.8069382494796</v>
      </c>
    </row>
    <row r="59" spans="1:31" x14ac:dyDescent="0.3">
      <c r="A59" s="7">
        <f t="shared" si="0"/>
        <v>58</v>
      </c>
      <c r="B59" s="203">
        <v>45854</v>
      </c>
      <c r="C59" s="101">
        <f>YEAR(Grid_BD[[#This Row],[Date]])+IF(MONTH(Grid_BD[[#This Row],[Date]])&gt;=4,1,0)</f>
        <v>2026</v>
      </c>
      <c r="D59" s="7">
        <f>YEAR(Grid_BD[[#This Row],[Date]])</f>
        <v>2025</v>
      </c>
      <c r="E59" s="204" t="s">
        <v>317</v>
      </c>
      <c r="F59" s="204" t="s">
        <v>317</v>
      </c>
      <c r="G59" s="205">
        <f>Grid_BD[[#This Row],[Date]]-DAY(Grid_BD[[#This Row],[Date]])+1</f>
        <v>45839</v>
      </c>
      <c r="H59" s="7">
        <f>DAY(EOMONTH(Grid_BD[[#This Row],[Month Year]],0))</f>
        <v>31</v>
      </c>
      <c r="I59" s="207">
        <f>_xlfn.XLOOKUP(Grid_BD[[#This Row],[Date]],'Raw Data'!$G:$G,'Raw Data'!$I:$I)</f>
        <v>0.25486111111111109</v>
      </c>
      <c r="J59" s="207">
        <f>_xlfn.XLOOKUP(Grid_BD[[#This Row],[Date]],'Raw Data'!$G:$G,'Raw Data'!$J:$J)</f>
        <v>0.77986111111111112</v>
      </c>
      <c r="K59" s="111">
        <f>IFERROR((Grid_BD[[#This Row],[Sunset Time (POA&lt;20 W/m2)]]-Grid_BD[[#This Row],[Sunrise Time (POA&gt;20 W/m2)]])*24,"")</f>
        <v>12.600000000000001</v>
      </c>
      <c r="L59" s="7" t="s">
        <v>292</v>
      </c>
      <c r="M59" s="67">
        <v>8020.9</v>
      </c>
      <c r="N59" s="208">
        <f>IFERROR(VLOOKUP(Grid_BD[[#This Row],[Affected Equipment ]],'Basic Data'!$A$2:$C$118,3,0),"")</f>
        <v>1</v>
      </c>
      <c r="O59" s="7" t="s">
        <v>293</v>
      </c>
      <c r="P59" s="7" t="s">
        <v>19</v>
      </c>
      <c r="R59" s="182" t="s">
        <v>294</v>
      </c>
      <c r="S59" s="207">
        <v>0.35833333333333334</v>
      </c>
      <c r="V59" s="207">
        <v>0.37013888888888891</v>
      </c>
      <c r="Y59" s="111">
        <f>(Grid_BD[[#This Row],[Work Completion time on fault]]-Grid_BD[[#This Row],[Fault Time]])*24</f>
        <v>0.28333333333333366</v>
      </c>
      <c r="Z59" s="67">
        <f>(Grid_BD[[#This Row],[Work Completion time on fault]]-Grid_BD[[#This Row],[Fault Time]])*24</f>
        <v>0.28333333333333366</v>
      </c>
      <c r="AB59" s="7" t="s">
        <v>73</v>
      </c>
      <c r="AC59" s="67">
        <f>IFERROR(Grid_BD[[#This Row],[Plant Equivalent Weightage]]*Grid_BD[[#This Row],[Resolution Time]],"")</f>
        <v>0.28333333333333366</v>
      </c>
      <c r="AD59" s="7">
        <v>0.15</v>
      </c>
      <c r="AE59" s="111">
        <f>Grid_BD[[#This Row],[Lost PoA(kWh/m2)]]*Grid_BD[[#This Row],[DC Capacity Affected (kW)]]*_xlfn.XLOOKUP(Grid_BD[[#This Row],[Month Year]],'Modelling New'!$D:$D,'Modelling New'!$O:$O)</f>
        <v>850.27323360546882</v>
      </c>
    </row>
    <row r="60" spans="1:31" x14ac:dyDescent="0.3">
      <c r="A60" s="7">
        <f t="shared" si="0"/>
        <v>59</v>
      </c>
      <c r="B60" s="203">
        <v>45855</v>
      </c>
      <c r="C60" s="101">
        <f>YEAR(Grid_BD[[#This Row],[Date]])+IF(MONTH(Grid_BD[[#This Row],[Date]])&gt;=4,1,0)</f>
        <v>2026</v>
      </c>
      <c r="D60" s="7">
        <f>YEAR(Grid_BD[[#This Row],[Date]])</f>
        <v>2025</v>
      </c>
      <c r="E60" s="204" t="s">
        <v>317</v>
      </c>
      <c r="F60" s="204" t="s">
        <v>317</v>
      </c>
      <c r="G60" s="205">
        <f>Grid_BD[[#This Row],[Date]]-DAY(Grid_BD[[#This Row],[Date]])+1</f>
        <v>45839</v>
      </c>
      <c r="H60" s="7">
        <f>DAY(EOMONTH(Grid_BD[[#This Row],[Month Year]],0))</f>
        <v>31</v>
      </c>
      <c r="I60" s="207">
        <f>_xlfn.XLOOKUP(Grid_BD[[#This Row],[Date]],'Raw Data'!$G:$G,'Raw Data'!$I:$I)</f>
        <v>0.25763888888888886</v>
      </c>
      <c r="J60" s="207">
        <f>_xlfn.XLOOKUP(Grid_BD[[#This Row],[Date]],'Raw Data'!$G:$G,'Raw Data'!$J:$J)</f>
        <v>0.77222222222222225</v>
      </c>
      <c r="K60" s="111">
        <f>IFERROR((Grid_BD[[#This Row],[Sunset Time (POA&lt;20 W/m2)]]-Grid_BD[[#This Row],[Sunrise Time (POA&gt;20 W/m2)]])*24,"")</f>
        <v>12.350000000000001</v>
      </c>
      <c r="L60" s="7" t="s">
        <v>292</v>
      </c>
      <c r="M60" s="67">
        <v>8020.9</v>
      </c>
      <c r="N60" s="208">
        <f>IFERROR(VLOOKUP(Grid_BD[[#This Row],[Affected Equipment ]],'Basic Data'!$A$2:$C$118,3,0),"")</f>
        <v>1</v>
      </c>
      <c r="O60" s="7" t="s">
        <v>293</v>
      </c>
      <c r="P60" s="7" t="s">
        <v>19</v>
      </c>
      <c r="R60" s="182" t="s">
        <v>294</v>
      </c>
      <c r="S60" s="207">
        <v>0.48333333333333334</v>
      </c>
      <c r="V60" s="207">
        <v>0.54097222222222219</v>
      </c>
      <c r="Y60" s="111">
        <f>(Grid_BD[[#This Row],[Work Completion time on fault]]-Grid_BD[[#This Row],[Fault Time]])*24</f>
        <v>1.3833333333333324</v>
      </c>
      <c r="Z60" s="67">
        <f>(Grid_BD[[#This Row],[Work Completion time on fault]]-Grid_BD[[#This Row],[Fault Time]])*24</f>
        <v>1.3833333333333324</v>
      </c>
      <c r="AB60" s="7" t="s">
        <v>73</v>
      </c>
      <c r="AC60" s="67">
        <f>IFERROR(Grid_BD[[#This Row],[Plant Equivalent Weightage]]*Grid_BD[[#This Row],[Resolution Time]],"")</f>
        <v>1.3833333333333324</v>
      </c>
      <c r="AD60" s="7">
        <v>0.89</v>
      </c>
      <c r="AE60" s="111">
        <f>Grid_BD[[#This Row],[Lost PoA(kWh/m2)]]*Grid_BD[[#This Row],[DC Capacity Affected (kW)]]*_xlfn.XLOOKUP(Grid_BD[[#This Row],[Month Year]],'Modelling New'!$D:$D,'Modelling New'!$O:$O)</f>
        <v>5044.9545193924487</v>
      </c>
    </row>
    <row r="61" spans="1:31" x14ac:dyDescent="0.3">
      <c r="A61" s="7">
        <f t="shared" si="0"/>
        <v>60</v>
      </c>
      <c r="B61" s="203">
        <v>45855</v>
      </c>
      <c r="C61" s="101">
        <f>YEAR(Grid_BD[[#This Row],[Date]])+IF(MONTH(Grid_BD[[#This Row],[Date]])&gt;=4,1,0)</f>
        <v>2026</v>
      </c>
      <c r="D61" s="7">
        <f>YEAR(Grid_BD[[#This Row],[Date]])</f>
        <v>2025</v>
      </c>
      <c r="E61" s="204" t="s">
        <v>317</v>
      </c>
      <c r="F61" s="204" t="s">
        <v>317</v>
      </c>
      <c r="G61" s="205">
        <f>Grid_BD[[#This Row],[Date]]-DAY(Grid_BD[[#This Row],[Date]])+1</f>
        <v>45839</v>
      </c>
      <c r="H61" s="7">
        <f>DAY(EOMONTH(Grid_BD[[#This Row],[Month Year]],0))</f>
        <v>31</v>
      </c>
      <c r="I61" s="207">
        <f>_xlfn.XLOOKUP(Grid_BD[[#This Row],[Date]],'Raw Data'!$G:$G,'Raw Data'!$I:$I)</f>
        <v>0.25763888888888886</v>
      </c>
      <c r="J61" s="207">
        <f>_xlfn.XLOOKUP(Grid_BD[[#This Row],[Date]],'Raw Data'!$G:$G,'Raw Data'!$J:$J)</f>
        <v>0.77222222222222225</v>
      </c>
      <c r="K61" s="111">
        <f>IFERROR((Grid_BD[[#This Row],[Sunset Time (POA&lt;20 W/m2)]]-Grid_BD[[#This Row],[Sunrise Time (POA&gt;20 W/m2)]])*24,"")</f>
        <v>12.350000000000001</v>
      </c>
      <c r="L61" s="7" t="s">
        <v>292</v>
      </c>
      <c r="M61" s="67">
        <v>8020.9</v>
      </c>
      <c r="N61" s="208">
        <f>IFERROR(VLOOKUP(Grid_BD[[#This Row],[Affected Equipment ]],'Basic Data'!$A$2:$C$118,3,0),"")</f>
        <v>1</v>
      </c>
      <c r="O61" s="7" t="s">
        <v>293</v>
      </c>
      <c r="P61" s="7" t="s">
        <v>19</v>
      </c>
      <c r="R61" s="182" t="s">
        <v>294</v>
      </c>
      <c r="S61" s="207">
        <v>0.60763888888888884</v>
      </c>
      <c r="V61" s="207">
        <v>0.61111111111111116</v>
      </c>
      <c r="Y61" s="111">
        <f>(Grid_BD[[#This Row],[Work Completion time on fault]]-Grid_BD[[#This Row],[Fault Time]])*24</f>
        <v>8.3333333333335702E-2</v>
      </c>
      <c r="Z61" s="67">
        <f>(Grid_BD[[#This Row],[Work Completion time on fault]]-Grid_BD[[#This Row],[Fault Time]])*24</f>
        <v>8.3333333333335702E-2</v>
      </c>
      <c r="AB61" s="7" t="s">
        <v>73</v>
      </c>
      <c r="AC61" s="67">
        <f>IFERROR(Grid_BD[[#This Row],[Plant Equivalent Weightage]]*Grid_BD[[#This Row],[Resolution Time]],"")</f>
        <v>8.3333333333335702E-2</v>
      </c>
      <c r="AD61" s="7">
        <v>7.0000000000000007E-2</v>
      </c>
      <c r="AE61" s="111">
        <f>Grid_BD[[#This Row],[Lost PoA(kWh/m2)]]*Grid_BD[[#This Row],[DC Capacity Affected (kW)]]*_xlfn.XLOOKUP(Grid_BD[[#This Row],[Month Year]],'Modelling New'!$D:$D,'Modelling New'!$O:$O)</f>
        <v>396.79417568255218</v>
      </c>
    </row>
    <row r="62" spans="1:31" x14ac:dyDescent="0.3">
      <c r="A62" s="7">
        <f t="shared" si="0"/>
        <v>61</v>
      </c>
      <c r="B62" s="203">
        <v>45855</v>
      </c>
      <c r="C62" s="101">
        <f>YEAR(Grid_BD[[#This Row],[Date]])+IF(MONTH(Grid_BD[[#This Row],[Date]])&gt;=4,1,0)</f>
        <v>2026</v>
      </c>
      <c r="D62" s="7">
        <f>YEAR(Grid_BD[[#This Row],[Date]])</f>
        <v>2025</v>
      </c>
      <c r="E62" s="204" t="s">
        <v>317</v>
      </c>
      <c r="F62" s="204" t="s">
        <v>317</v>
      </c>
      <c r="G62" s="205">
        <f>Grid_BD[[#This Row],[Date]]-DAY(Grid_BD[[#This Row],[Date]])+1</f>
        <v>45839</v>
      </c>
      <c r="H62" s="7">
        <f>DAY(EOMONTH(Grid_BD[[#This Row],[Month Year]],0))</f>
        <v>31</v>
      </c>
      <c r="I62" s="207">
        <f>_xlfn.XLOOKUP(Grid_BD[[#This Row],[Date]],'Raw Data'!$G:$G,'Raw Data'!$I:$I)</f>
        <v>0.25763888888888886</v>
      </c>
      <c r="J62" s="207">
        <f>_xlfn.XLOOKUP(Grid_BD[[#This Row],[Date]],'Raw Data'!$G:$G,'Raw Data'!$J:$J)</f>
        <v>0.77222222222222225</v>
      </c>
      <c r="K62" s="111">
        <f>IFERROR((Grid_BD[[#This Row],[Sunset Time (POA&lt;20 W/m2)]]-Grid_BD[[#This Row],[Sunrise Time (POA&gt;20 W/m2)]])*24,"")</f>
        <v>12.350000000000001</v>
      </c>
      <c r="L62" s="7" t="s">
        <v>292</v>
      </c>
      <c r="M62" s="67">
        <v>8020.9</v>
      </c>
      <c r="N62" s="208">
        <f>IFERROR(VLOOKUP(Grid_BD[[#This Row],[Affected Equipment ]],'Basic Data'!$A$2:$C$118,3,0),"")</f>
        <v>1</v>
      </c>
      <c r="O62" s="7" t="s">
        <v>293</v>
      </c>
      <c r="P62" s="7" t="s">
        <v>19</v>
      </c>
      <c r="R62" s="182" t="s">
        <v>294</v>
      </c>
      <c r="S62" s="207">
        <v>0.62916666666666665</v>
      </c>
      <c r="V62" s="207">
        <v>0.63194444444444442</v>
      </c>
      <c r="Y62" s="111">
        <f>(Grid_BD[[#This Row],[Work Completion time on fault]]-Grid_BD[[#This Row],[Fault Time]])*24</f>
        <v>6.666666666666643E-2</v>
      </c>
      <c r="Z62" s="67">
        <f>(Grid_BD[[#This Row],[Work Completion time on fault]]-Grid_BD[[#This Row],[Fault Time]])*24</f>
        <v>6.666666666666643E-2</v>
      </c>
      <c r="AB62" s="7" t="s">
        <v>73</v>
      </c>
      <c r="AC62" s="67">
        <f>IFERROR(Grid_BD[[#This Row],[Plant Equivalent Weightage]]*Grid_BD[[#This Row],[Resolution Time]],"")</f>
        <v>6.666666666666643E-2</v>
      </c>
      <c r="AD62" s="7">
        <v>0.01</v>
      </c>
      <c r="AE62" s="111">
        <f>Grid_BD[[#This Row],[Lost PoA(kWh/m2)]]*Grid_BD[[#This Row],[DC Capacity Affected (kW)]]*_xlfn.XLOOKUP(Grid_BD[[#This Row],[Month Year]],'Modelling New'!$D:$D,'Modelling New'!$O:$O)</f>
        <v>56.684882240364594</v>
      </c>
    </row>
    <row r="63" spans="1:31" x14ac:dyDescent="0.3">
      <c r="A63" s="7">
        <f t="shared" si="0"/>
        <v>62</v>
      </c>
      <c r="B63" s="203">
        <v>45859</v>
      </c>
      <c r="C63" s="101">
        <f>YEAR(Grid_BD[[#This Row],[Date]])+IF(MONTH(Grid_BD[[#This Row],[Date]])&gt;=4,1,0)</f>
        <v>2026</v>
      </c>
      <c r="D63" s="7">
        <f>YEAR(Grid_BD[[#This Row],[Date]])</f>
        <v>2025</v>
      </c>
      <c r="E63" s="204" t="s">
        <v>317</v>
      </c>
      <c r="F63" s="204" t="s">
        <v>317</v>
      </c>
      <c r="G63" s="205">
        <f>Grid_BD[[#This Row],[Date]]-DAY(Grid_BD[[#This Row],[Date]])+1</f>
        <v>45839</v>
      </c>
      <c r="H63" s="7">
        <f>DAY(EOMONTH(Grid_BD[[#This Row],[Month Year]],0))</f>
        <v>31</v>
      </c>
      <c r="I63" s="207">
        <f>_xlfn.XLOOKUP(Grid_BD[[#This Row],[Date]],'Raw Data'!$G:$G,'Raw Data'!$I:$I)</f>
        <v>0.25694444444444442</v>
      </c>
      <c r="J63" s="207">
        <f>_xlfn.XLOOKUP(Grid_BD[[#This Row],[Date]],'Raw Data'!$G:$G,'Raw Data'!$J:$J)</f>
        <v>0.78263888888888888</v>
      </c>
      <c r="K63" s="111">
        <f>IFERROR((Grid_BD[[#This Row],[Sunset Time (POA&lt;20 W/m2)]]-Grid_BD[[#This Row],[Sunrise Time (POA&gt;20 W/m2)]])*24,"")</f>
        <v>12.616666666666667</v>
      </c>
      <c r="L63" s="7" t="s">
        <v>292</v>
      </c>
      <c r="M63" s="67">
        <v>8020.9</v>
      </c>
      <c r="N63" s="208">
        <f>IFERROR(VLOOKUP(Grid_BD[[#This Row],[Affected Equipment ]],'Basic Data'!$A$2:$C$118,3,0),"")</f>
        <v>1</v>
      </c>
      <c r="O63" s="7" t="s">
        <v>293</v>
      </c>
      <c r="P63" s="7" t="s">
        <v>19</v>
      </c>
      <c r="R63" s="182" t="s">
        <v>294</v>
      </c>
      <c r="S63" s="207">
        <v>0.38194444444444442</v>
      </c>
      <c r="V63" s="207">
        <v>0.40208333333333335</v>
      </c>
      <c r="Y63" s="111">
        <f>(Grid_BD[[#This Row],[Work Completion time on fault]]-Grid_BD[[#This Row],[Fault Time]])*24</f>
        <v>0.48333333333333428</v>
      </c>
      <c r="Z63" s="67">
        <f>(Grid_BD[[#This Row],[Work Completion time on fault]]-Grid_BD[[#This Row],[Fault Time]])*24</f>
        <v>0.48333333333333428</v>
      </c>
      <c r="AB63" s="7" t="s">
        <v>73</v>
      </c>
      <c r="AC63" s="67">
        <f>IFERROR(Grid_BD[[#This Row],[Plant Equivalent Weightage]]*Grid_BD[[#This Row],[Resolution Time]],"")</f>
        <v>0.48333333333333428</v>
      </c>
      <c r="AD63" s="7">
        <v>0.23</v>
      </c>
      <c r="AE63" s="111">
        <f>Grid_BD[[#This Row],[Lost PoA(kWh/m2)]]*Grid_BD[[#This Row],[DC Capacity Affected (kW)]]*_xlfn.XLOOKUP(Grid_BD[[#This Row],[Month Year]],'Modelling New'!$D:$D,'Modelling New'!$O:$O)</f>
        <v>1303.7522915283855</v>
      </c>
    </row>
    <row r="64" spans="1:31" x14ac:dyDescent="0.3">
      <c r="A64" s="7">
        <f t="shared" si="0"/>
        <v>63</v>
      </c>
      <c r="B64" s="203">
        <v>45860</v>
      </c>
      <c r="C64" s="101">
        <f>YEAR(Grid_BD[[#This Row],[Date]])+IF(MONTH(Grid_BD[[#This Row],[Date]])&gt;=4,1,0)</f>
        <v>2026</v>
      </c>
      <c r="D64" s="7">
        <f>YEAR(Grid_BD[[#This Row],[Date]])</f>
        <v>2025</v>
      </c>
      <c r="E64" s="204" t="s">
        <v>317</v>
      </c>
      <c r="F64" s="204" t="s">
        <v>317</v>
      </c>
      <c r="G64" s="205">
        <f>Grid_BD[[#This Row],[Date]]-DAY(Grid_BD[[#This Row],[Date]])+1</f>
        <v>45839</v>
      </c>
      <c r="H64" s="7">
        <f>DAY(EOMONTH(Grid_BD[[#This Row],[Month Year]],0))</f>
        <v>31</v>
      </c>
      <c r="I64" s="207">
        <f>_xlfn.XLOOKUP(Grid_BD[[#This Row],[Date]],'Raw Data'!$G:$G,'Raw Data'!$I:$I)</f>
        <v>0.2638888888888889</v>
      </c>
      <c r="J64" s="207">
        <f>_xlfn.XLOOKUP(Grid_BD[[#This Row],[Date]],'Raw Data'!$G:$G,'Raw Data'!$J:$J)</f>
        <v>0.77777777777777779</v>
      </c>
      <c r="K64" s="111">
        <f>IFERROR((Grid_BD[[#This Row],[Sunset Time (POA&lt;20 W/m2)]]-Grid_BD[[#This Row],[Sunrise Time (POA&gt;20 W/m2)]])*24,"")</f>
        <v>12.333333333333332</v>
      </c>
      <c r="L64" s="7" t="s">
        <v>292</v>
      </c>
      <c r="M64" s="67">
        <v>8020.9</v>
      </c>
      <c r="N64" s="208">
        <f>IFERROR(VLOOKUP(Grid_BD[[#This Row],[Affected Equipment ]],'Basic Data'!$A$2:$C$118,3,0),"")</f>
        <v>1</v>
      </c>
      <c r="O64" s="7" t="s">
        <v>293</v>
      </c>
      <c r="P64" s="7" t="s">
        <v>19</v>
      </c>
      <c r="R64" s="182" t="s">
        <v>294</v>
      </c>
      <c r="S64" s="207">
        <v>0.47916666666666669</v>
      </c>
      <c r="V64" s="207">
        <v>0.50208333333333333</v>
      </c>
      <c r="Y64" s="111">
        <f>(Grid_BD[[#This Row],[Work Completion time on fault]]-Grid_BD[[#This Row],[Fault Time]])*24</f>
        <v>0.54999999999999938</v>
      </c>
      <c r="Z64" s="67">
        <f>(Grid_BD[[#This Row],[Work Completion time on fault]]-Grid_BD[[#This Row],[Fault Time]])*24</f>
        <v>0.54999999999999938</v>
      </c>
      <c r="AB64" s="7" t="s">
        <v>73</v>
      </c>
      <c r="AC64" s="67">
        <f>IFERROR(Grid_BD[[#This Row],[Plant Equivalent Weightage]]*Grid_BD[[#This Row],[Resolution Time]],"")</f>
        <v>0.54999999999999938</v>
      </c>
      <c r="AD64" s="7">
        <v>0.37</v>
      </c>
      <c r="AE64" s="111">
        <f>Grid_BD[[#This Row],[Lost PoA(kWh/m2)]]*Grid_BD[[#This Row],[DC Capacity Affected (kW)]]*_xlfn.XLOOKUP(Grid_BD[[#This Row],[Month Year]],'Modelling New'!$D:$D,'Modelling New'!$O:$O)</f>
        <v>2097.3406428934895</v>
      </c>
    </row>
    <row r="65" spans="1:31" x14ac:dyDescent="0.3">
      <c r="A65" s="7">
        <f t="shared" si="0"/>
        <v>64</v>
      </c>
      <c r="B65" s="203">
        <v>45862</v>
      </c>
      <c r="C65" s="101">
        <f>YEAR(Grid_BD[[#This Row],[Date]])+IF(MONTH(Grid_BD[[#This Row],[Date]])&gt;=4,1,0)</f>
        <v>2026</v>
      </c>
      <c r="D65" s="7">
        <f>YEAR(Grid_BD[[#This Row],[Date]])</f>
        <v>2025</v>
      </c>
      <c r="E65" s="204" t="s">
        <v>317</v>
      </c>
      <c r="F65" s="204" t="s">
        <v>317</v>
      </c>
      <c r="G65" s="205">
        <f>Grid_BD[[#This Row],[Date]]-DAY(Grid_BD[[#This Row],[Date]])+1</f>
        <v>45839</v>
      </c>
      <c r="H65" s="7">
        <f>DAY(EOMONTH(Grid_BD[[#This Row],[Month Year]],0))</f>
        <v>31</v>
      </c>
      <c r="I65" s="207">
        <f>_xlfn.XLOOKUP(Grid_BD[[#This Row],[Date]],'Raw Data'!$G:$G,'Raw Data'!$I:$I)</f>
        <v>0.27916666666666667</v>
      </c>
      <c r="J65" s="207">
        <f>_xlfn.XLOOKUP(Grid_BD[[#This Row],[Date]],'Raw Data'!$G:$G,'Raw Data'!$J:$J)</f>
        <v>0.77708333333333335</v>
      </c>
      <c r="K65" s="111">
        <f>IFERROR((Grid_BD[[#This Row],[Sunset Time (POA&lt;20 W/m2)]]-Grid_BD[[#This Row],[Sunrise Time (POA&gt;20 W/m2)]])*24,"")</f>
        <v>11.95</v>
      </c>
      <c r="L65" s="7" t="s">
        <v>292</v>
      </c>
      <c r="M65" s="67">
        <v>8020.9</v>
      </c>
      <c r="N65" s="208">
        <f>IFERROR(VLOOKUP(Grid_BD[[#This Row],[Affected Equipment ]],'Basic Data'!$A$2:$C$118,3,0),"")</f>
        <v>1</v>
      </c>
      <c r="O65" s="7" t="s">
        <v>293</v>
      </c>
      <c r="P65" s="7" t="s">
        <v>19</v>
      </c>
      <c r="R65" s="182" t="s">
        <v>294</v>
      </c>
      <c r="S65" s="207">
        <v>0.25694444444444442</v>
      </c>
      <c r="V65" s="207">
        <v>0.31388888888888888</v>
      </c>
      <c r="Y65" s="111">
        <f>(Grid_BD[[#This Row],[Work Completion time on fault]]-Grid_BD[[#This Row],[Fault Time]])*24</f>
        <v>1.3666666666666671</v>
      </c>
      <c r="Z65" s="67">
        <f>(Grid_BD[[#This Row],[Work Completion time on fault]]-Grid_BD[[#This Row],[Fault Time]])*24</f>
        <v>1.3666666666666671</v>
      </c>
      <c r="AB65" s="7" t="s">
        <v>73</v>
      </c>
      <c r="AC65" s="67">
        <f>IFERROR(Grid_BD[[#This Row],[Plant Equivalent Weightage]]*Grid_BD[[#This Row],[Resolution Time]],"")</f>
        <v>1.3666666666666671</v>
      </c>
      <c r="AD65" s="7">
        <v>0.02</v>
      </c>
      <c r="AE65" s="111">
        <f>Grid_BD[[#This Row],[Lost PoA(kWh/m2)]]*Grid_BD[[#This Row],[DC Capacity Affected (kW)]]*_xlfn.XLOOKUP(Grid_BD[[#This Row],[Month Year]],'Modelling New'!$D:$D,'Modelling New'!$O:$O)</f>
        <v>113.36976448072919</v>
      </c>
    </row>
    <row r="66" spans="1:31" x14ac:dyDescent="0.3">
      <c r="A66" s="7">
        <f t="shared" si="0"/>
        <v>65</v>
      </c>
      <c r="B66" s="203">
        <v>45862</v>
      </c>
      <c r="C66" s="101">
        <f>YEAR(Grid_BD[[#This Row],[Date]])+IF(MONTH(Grid_BD[[#This Row],[Date]])&gt;=4,1,0)</f>
        <v>2026</v>
      </c>
      <c r="D66" s="7">
        <f>YEAR(Grid_BD[[#This Row],[Date]])</f>
        <v>2025</v>
      </c>
      <c r="E66" s="204" t="s">
        <v>317</v>
      </c>
      <c r="F66" s="204" t="s">
        <v>317</v>
      </c>
      <c r="G66" s="205">
        <f>Grid_BD[[#This Row],[Date]]-DAY(Grid_BD[[#This Row],[Date]])+1</f>
        <v>45839</v>
      </c>
      <c r="H66" s="7">
        <f>DAY(EOMONTH(Grid_BD[[#This Row],[Month Year]],0))</f>
        <v>31</v>
      </c>
      <c r="I66" s="207">
        <f>_xlfn.XLOOKUP(Grid_BD[[#This Row],[Date]],'Raw Data'!$G:$G,'Raw Data'!$I:$I)</f>
        <v>0.27916666666666667</v>
      </c>
      <c r="J66" s="207">
        <f>_xlfn.XLOOKUP(Grid_BD[[#This Row],[Date]],'Raw Data'!$G:$G,'Raw Data'!$J:$J)</f>
        <v>0.77708333333333335</v>
      </c>
      <c r="K66" s="111">
        <f>IFERROR((Grid_BD[[#This Row],[Sunset Time (POA&lt;20 W/m2)]]-Grid_BD[[#This Row],[Sunrise Time (POA&gt;20 W/m2)]])*24,"")</f>
        <v>11.95</v>
      </c>
      <c r="L66" s="7" t="s">
        <v>292</v>
      </c>
      <c r="M66" s="67">
        <v>8020.9</v>
      </c>
      <c r="N66" s="208">
        <f>IFERROR(VLOOKUP(Grid_BD[[#This Row],[Affected Equipment ]],'Basic Data'!$A$2:$C$118,3,0),"")</f>
        <v>1</v>
      </c>
      <c r="O66" s="7" t="s">
        <v>293</v>
      </c>
      <c r="P66" s="7" t="s">
        <v>19</v>
      </c>
      <c r="R66" s="182" t="s">
        <v>294</v>
      </c>
      <c r="S66" s="207">
        <v>0.42708333333333331</v>
      </c>
      <c r="V66" s="207">
        <v>0.43263888888888891</v>
      </c>
      <c r="Y66" s="111">
        <f>(Grid_BD[[#This Row],[Work Completion time on fault]]-Grid_BD[[#This Row],[Fault Time]])*24</f>
        <v>0.13333333333333419</v>
      </c>
      <c r="Z66" s="67">
        <f>(Grid_BD[[#This Row],[Work Completion time on fault]]-Grid_BD[[#This Row],[Fault Time]])*24</f>
        <v>0.13333333333333419</v>
      </c>
      <c r="AB66" s="7" t="s">
        <v>73</v>
      </c>
      <c r="AC66" s="67">
        <f>IFERROR(Grid_BD[[#This Row],[Plant Equivalent Weightage]]*Grid_BD[[#This Row],[Resolution Time]],"")</f>
        <v>0.13333333333333419</v>
      </c>
      <c r="AD66" s="7">
        <v>4.0000000000000001E-3</v>
      </c>
      <c r="AE66" s="111">
        <f>Grid_BD[[#This Row],[Lost PoA(kWh/m2)]]*Grid_BD[[#This Row],[DC Capacity Affected (kW)]]*_xlfn.XLOOKUP(Grid_BD[[#This Row],[Month Year]],'Modelling New'!$D:$D,'Modelling New'!$O:$O)</f>
        <v>22.673952896145835</v>
      </c>
    </row>
    <row r="67" spans="1:31" x14ac:dyDescent="0.3">
      <c r="A67" s="7">
        <f t="shared" si="0"/>
        <v>66</v>
      </c>
      <c r="B67" s="203">
        <v>45862</v>
      </c>
      <c r="C67" s="101">
        <f>YEAR(Grid_BD[[#This Row],[Date]])+IF(MONTH(Grid_BD[[#This Row],[Date]])&gt;=4,1,0)</f>
        <v>2026</v>
      </c>
      <c r="D67" s="7">
        <f>YEAR(Grid_BD[[#This Row],[Date]])</f>
        <v>2025</v>
      </c>
      <c r="E67" s="204" t="s">
        <v>317</v>
      </c>
      <c r="F67" s="204" t="s">
        <v>317</v>
      </c>
      <c r="G67" s="205">
        <f>Grid_BD[[#This Row],[Date]]-DAY(Grid_BD[[#This Row],[Date]])+1</f>
        <v>45839</v>
      </c>
      <c r="H67" s="7">
        <f>DAY(EOMONTH(Grid_BD[[#This Row],[Month Year]],0))</f>
        <v>31</v>
      </c>
      <c r="I67" s="207">
        <f>_xlfn.XLOOKUP(Grid_BD[[#This Row],[Date]],'Raw Data'!$G:$G,'Raw Data'!$I:$I)</f>
        <v>0.27916666666666667</v>
      </c>
      <c r="J67" s="207">
        <f>_xlfn.XLOOKUP(Grid_BD[[#This Row],[Date]],'Raw Data'!$G:$G,'Raw Data'!$J:$J)</f>
        <v>0.77708333333333335</v>
      </c>
      <c r="K67" s="111">
        <f>IFERROR((Grid_BD[[#This Row],[Sunset Time (POA&lt;20 W/m2)]]-Grid_BD[[#This Row],[Sunrise Time (POA&gt;20 W/m2)]])*24,"")</f>
        <v>11.95</v>
      </c>
      <c r="L67" s="7" t="s">
        <v>292</v>
      </c>
      <c r="M67" s="67">
        <v>8020.9</v>
      </c>
      <c r="N67" s="208">
        <f>IFERROR(VLOOKUP(Grid_BD[[#This Row],[Affected Equipment ]],'Basic Data'!$A$2:$C$118,3,0),"")</f>
        <v>1</v>
      </c>
      <c r="O67" s="7" t="s">
        <v>293</v>
      </c>
      <c r="P67" s="7" t="s">
        <v>19</v>
      </c>
      <c r="R67" s="182" t="s">
        <v>294</v>
      </c>
      <c r="S67" s="207">
        <v>0.52916666666666667</v>
      </c>
      <c r="V67" s="207">
        <v>0.53611111111111109</v>
      </c>
      <c r="Y67" s="111">
        <f>(Grid_BD[[#This Row],[Work Completion time on fault]]-Grid_BD[[#This Row],[Fault Time]])*24</f>
        <v>0.16666666666666607</v>
      </c>
      <c r="Z67" s="67">
        <f>(Grid_BD[[#This Row],[Work Completion time on fault]]-Grid_BD[[#This Row],[Fault Time]])*24</f>
        <v>0.16666666666666607</v>
      </c>
      <c r="AB67" s="7" t="s">
        <v>73</v>
      </c>
      <c r="AC67" s="67">
        <f>IFERROR(Grid_BD[[#This Row],[Plant Equivalent Weightage]]*Grid_BD[[#This Row],[Resolution Time]],"")</f>
        <v>0.16666666666666607</v>
      </c>
      <c r="AD67" s="7">
        <v>0.06</v>
      </c>
      <c r="AE67" s="111">
        <f>Grid_BD[[#This Row],[Lost PoA(kWh/m2)]]*Grid_BD[[#This Row],[DC Capacity Affected (kW)]]*_xlfn.XLOOKUP(Grid_BD[[#This Row],[Month Year]],'Modelling New'!$D:$D,'Modelling New'!$O:$O)</f>
        <v>340.10929344218749</v>
      </c>
    </row>
    <row r="68" spans="1:31" x14ac:dyDescent="0.3">
      <c r="A68" s="7">
        <f t="shared" ref="A68:A69" si="1">A67+1</f>
        <v>67</v>
      </c>
      <c r="B68" s="203">
        <v>45865</v>
      </c>
      <c r="C68" s="101">
        <f>YEAR(Grid_BD[[#This Row],[Date]])+IF(MONTH(Grid_BD[[#This Row],[Date]])&gt;=4,1,0)</f>
        <v>2026</v>
      </c>
      <c r="D68" s="7">
        <f>YEAR(Grid_BD[[#This Row],[Date]])</f>
        <v>2025</v>
      </c>
      <c r="E68" s="204" t="s">
        <v>317</v>
      </c>
      <c r="F68" s="204" t="s">
        <v>317</v>
      </c>
      <c r="G68" s="205">
        <f>Grid_BD[[#This Row],[Date]]-DAY(Grid_BD[[#This Row],[Date]])+1</f>
        <v>45839</v>
      </c>
      <c r="H68" s="7">
        <f>DAY(EOMONTH(Grid_BD[[#This Row],[Month Year]],0))</f>
        <v>31</v>
      </c>
      <c r="I68" s="207">
        <f>_xlfn.XLOOKUP(Grid_BD[[#This Row],[Date]],'Raw Data'!$G:$G,'Raw Data'!$I:$I)</f>
        <v>0.25694444444444442</v>
      </c>
      <c r="J68" s="207">
        <f>_xlfn.XLOOKUP(Grid_BD[[#This Row],[Date]],'Raw Data'!$G:$G,'Raw Data'!$J:$J)</f>
        <v>0.78055555555555556</v>
      </c>
      <c r="K68" s="111">
        <f>IFERROR((Grid_BD[[#This Row],[Sunset Time (POA&lt;20 W/m2)]]-Grid_BD[[#This Row],[Sunrise Time (POA&gt;20 W/m2)]])*24,"")</f>
        <v>12.566666666666666</v>
      </c>
      <c r="L68" s="7" t="s">
        <v>292</v>
      </c>
      <c r="M68" s="67">
        <v>8020.9</v>
      </c>
      <c r="N68" s="208">
        <f>IFERROR(VLOOKUP(Grid_BD[[#This Row],[Affected Equipment ]],'Basic Data'!$A$2:$C$118,3,0),"")</f>
        <v>1</v>
      </c>
      <c r="O68" s="7" t="s">
        <v>293</v>
      </c>
      <c r="P68" s="7" t="s">
        <v>19</v>
      </c>
      <c r="R68" s="182" t="s">
        <v>294</v>
      </c>
      <c r="S68" s="207">
        <v>0.39097222222222222</v>
      </c>
      <c r="V68" s="207">
        <v>0.47916666666666669</v>
      </c>
      <c r="Y68" s="111">
        <f>(Grid_BD[[#This Row],[Work Completion time on fault]]-Grid_BD[[#This Row],[Fault Time]])*24</f>
        <v>2.1166666666666671</v>
      </c>
      <c r="Z68" s="67">
        <f>(Grid_BD[[#This Row],[Work Completion time on fault]]-Grid_BD[[#This Row],[Fault Time]])*24</f>
        <v>2.1166666666666671</v>
      </c>
      <c r="AB68" s="7" t="s">
        <v>73</v>
      </c>
      <c r="AC68" s="67">
        <f>IFERROR(Grid_BD[[#This Row],[Plant Equivalent Weightage]]*Grid_BD[[#This Row],[Resolution Time]],"")</f>
        <v>2.1166666666666671</v>
      </c>
      <c r="AD68" s="7">
        <v>1.3</v>
      </c>
      <c r="AE68" s="111">
        <f>Grid_BD[[#This Row],[Lost PoA(kWh/m2)]]*Grid_BD[[#This Row],[DC Capacity Affected (kW)]]*_xlfn.XLOOKUP(Grid_BD[[#This Row],[Month Year]],'Modelling New'!$D:$D,'Modelling New'!$O:$O)</f>
        <v>7369.0346912473969</v>
      </c>
    </row>
    <row r="69" spans="1:31" x14ac:dyDescent="0.3">
      <c r="A69" s="7">
        <f t="shared" si="1"/>
        <v>68</v>
      </c>
      <c r="B69" s="203">
        <v>45868</v>
      </c>
      <c r="C69" s="101">
        <f>YEAR(Grid_BD[[#This Row],[Date]])+IF(MONTH(Grid_BD[[#This Row],[Date]])&gt;=4,1,0)</f>
        <v>2026</v>
      </c>
      <c r="D69" s="7">
        <f>YEAR(Grid_BD[[#This Row],[Date]])</f>
        <v>2025</v>
      </c>
      <c r="E69" s="204" t="s">
        <v>317</v>
      </c>
      <c r="F69" s="204" t="s">
        <v>317</v>
      </c>
      <c r="G69" s="205">
        <f>Grid_BD[[#This Row],[Date]]-DAY(Grid_BD[[#This Row],[Date]])+1</f>
        <v>45839</v>
      </c>
      <c r="H69" s="7">
        <f>DAY(EOMONTH(Grid_BD[[#This Row],[Month Year]],0))</f>
        <v>31</v>
      </c>
      <c r="I69" s="207">
        <f>_xlfn.XLOOKUP(Grid_BD[[#This Row],[Date]],'Raw Data'!$G:$G,'Raw Data'!$I:$I)</f>
        <v>0.2590277777777778</v>
      </c>
      <c r="J69" s="207">
        <f>_xlfn.XLOOKUP(Grid_BD[[#This Row],[Date]],'Raw Data'!$G:$G,'Raw Data'!$J:$J)</f>
        <v>0.77222222222222225</v>
      </c>
      <c r="K69" s="111">
        <f>IFERROR((Grid_BD[[#This Row],[Sunset Time (POA&lt;20 W/m2)]]-Grid_BD[[#This Row],[Sunrise Time (POA&gt;20 W/m2)]])*24,"")</f>
        <v>12.316666666666668</v>
      </c>
      <c r="L69" s="7" t="s">
        <v>292</v>
      </c>
      <c r="M69" s="67">
        <v>8020.9</v>
      </c>
      <c r="N69" s="208">
        <f>IFERROR(VLOOKUP(Grid_BD[[#This Row],[Affected Equipment ]],'Basic Data'!$A$2:$C$118,3,0),"")</f>
        <v>1</v>
      </c>
      <c r="O69" s="7" t="s">
        <v>293</v>
      </c>
      <c r="P69" s="7" t="s">
        <v>19</v>
      </c>
      <c r="R69" s="182" t="s">
        <v>294</v>
      </c>
      <c r="S69" s="207">
        <v>0.65486111111111112</v>
      </c>
      <c r="V69" s="207">
        <v>0.66041666666666665</v>
      </c>
      <c r="Y69" s="111">
        <f>(Grid_BD[[#This Row],[Work Completion time on fault]]-Grid_BD[[#This Row],[Fault Time]])*24</f>
        <v>0.13333333333333286</v>
      </c>
      <c r="Z69" s="67">
        <f>(Grid_BD[[#This Row],[Work Completion time on fault]]-Grid_BD[[#This Row],[Fault Time]])*24</f>
        <v>0.13333333333333286</v>
      </c>
      <c r="AB69" s="7" t="s">
        <v>73</v>
      </c>
      <c r="AC69" s="67">
        <f>IFERROR(Grid_BD[[#This Row],[Plant Equivalent Weightage]]*Grid_BD[[#This Row],[Resolution Time]],"")</f>
        <v>0.13333333333333286</v>
      </c>
      <c r="AD69" s="7">
        <v>0.02</v>
      </c>
      <c r="AE69" s="111">
        <f>Grid_BD[[#This Row],[Lost PoA(kWh/m2)]]*Grid_BD[[#This Row],[DC Capacity Affected (kW)]]*_xlfn.XLOOKUP(Grid_BD[[#This Row],[Month Year]],'Modelling New'!$D:$D,'Modelling New'!$O:$O)</f>
        <v>113.36976448072919</v>
      </c>
    </row>
    <row r="70" spans="1:31" x14ac:dyDescent="0.3">
      <c r="A70" s="7">
        <v>69</v>
      </c>
      <c r="B70" s="203">
        <v>45869</v>
      </c>
      <c r="C70" s="101">
        <f>YEAR(Grid_BD[[#This Row],[Date]])+IF(MONTH(Grid_BD[[#This Row],[Date]])&gt;=4,1,0)</f>
        <v>2026</v>
      </c>
      <c r="D70" s="245">
        <f>YEAR(Grid_BD[[#This Row],[Date]])</f>
        <v>2025</v>
      </c>
      <c r="E70" s="204" t="s">
        <v>317</v>
      </c>
      <c r="F70" s="204" t="s">
        <v>317</v>
      </c>
      <c r="G70" s="246">
        <f>Grid_BD[[#This Row],[Date]]-DAY(Grid_BD[[#This Row],[Date]])+1</f>
        <v>45839</v>
      </c>
      <c r="H70" s="247">
        <f>DAY(EOMONTH(Grid_BD[[#This Row],[Month Year]],0))</f>
        <v>31</v>
      </c>
      <c r="I70" s="207">
        <f>_xlfn.XLOOKUP(Grid_BD[[#This Row],[Date]],'Raw Data'!$G:$G,'Raw Data'!$I:$I)</f>
        <v>0.26041666666666669</v>
      </c>
      <c r="J70" s="207">
        <f>_xlfn.XLOOKUP(Grid_BD[[#This Row],[Date]],'Raw Data'!$G:$G,'Raw Data'!$J:$J)</f>
        <v>0.77916666666666667</v>
      </c>
      <c r="K70" s="111">
        <f>IFERROR((Grid_BD[[#This Row],[Sunset Time (POA&lt;20 W/m2)]]-Grid_BD[[#This Row],[Sunrise Time (POA&gt;20 W/m2)]])*24,"")</f>
        <v>12.450000000000001</v>
      </c>
      <c r="L70" s="7" t="s">
        <v>292</v>
      </c>
      <c r="M70" s="67">
        <v>8020.9</v>
      </c>
      <c r="N70" s="208">
        <f>IFERROR(VLOOKUP(Grid_BD[[#This Row],[Affected Equipment ]],'Basic Data'!$A$2:$C$118,3,0),"")</f>
        <v>1</v>
      </c>
      <c r="O70" s="7" t="s">
        <v>293</v>
      </c>
      <c r="P70" s="7" t="s">
        <v>19</v>
      </c>
      <c r="R70" s="182" t="s">
        <v>294</v>
      </c>
      <c r="S70" s="207">
        <v>0.7055555555555556</v>
      </c>
      <c r="V70" s="207">
        <v>0.7104166666666667</v>
      </c>
      <c r="Y70" s="111">
        <f>(Grid_BD[[#This Row],[Work Completion time on fault]]-Grid_BD[[#This Row],[Fault Time]])*24</f>
        <v>0.11666666666666625</v>
      </c>
      <c r="Z70" s="67">
        <f>(Grid_BD[[#This Row],[Work Completion time on fault]]-Grid_BD[[#This Row],[Fault Time]])*24</f>
        <v>0.11666666666666625</v>
      </c>
      <c r="AB70" s="7" t="s">
        <v>73</v>
      </c>
      <c r="AC70" s="67">
        <f>IFERROR(Grid_BD[[#This Row],[Plant Equivalent Weightage]]*Grid_BD[[#This Row],[Resolution Time]],"")</f>
        <v>0.11666666666666625</v>
      </c>
      <c r="AD70" s="7">
        <v>0.03</v>
      </c>
      <c r="AE70" s="111">
        <f>Grid_BD[[#This Row],[Lost PoA(kWh/m2)]]*Grid_BD[[#This Row],[DC Capacity Affected (kW)]]*_xlfn.XLOOKUP(Grid_BD[[#This Row],[Month Year]],'Modelling New'!$D:$D,'Modelling New'!$O:$O)</f>
        <v>170.05464672109375</v>
      </c>
    </row>
    <row r="71" spans="1:31" x14ac:dyDescent="0.3">
      <c r="A71" s="7">
        <v>70</v>
      </c>
      <c r="B71" s="203">
        <v>45871</v>
      </c>
      <c r="C71" s="101">
        <f>YEAR(Grid_BD[[#This Row],[Date]])+IF(MONTH(Grid_BD[[#This Row],[Date]])&gt;=4,1,0)</f>
        <v>2026</v>
      </c>
      <c r="D71" s="245">
        <f>YEAR(Grid_BD[[#This Row],[Date]])</f>
        <v>2025</v>
      </c>
      <c r="E71" s="204" t="s">
        <v>317</v>
      </c>
      <c r="F71" s="204" t="s">
        <v>317</v>
      </c>
      <c r="G71" s="246">
        <f>Grid_BD[[#This Row],[Date]]-DAY(Grid_BD[[#This Row],[Date]])+1</f>
        <v>45870</v>
      </c>
      <c r="H71" s="247">
        <f>DAY(EOMONTH(Grid_BD[[#This Row],[Month Year]],0))</f>
        <v>31</v>
      </c>
      <c r="I71" s="207">
        <f>_xlfn.XLOOKUP(Grid_BD[[#This Row],[Date]],'Raw Data'!$G:$G,'Raw Data'!$I:$I)</f>
        <v>0.25</v>
      </c>
      <c r="J71" s="207">
        <f>_xlfn.XLOOKUP(Grid_BD[[#This Row],[Date]],'Raw Data'!$G:$G,'Raw Data'!$J:$J)</f>
        <v>0.78055555555555556</v>
      </c>
      <c r="K71" s="111">
        <f>IFERROR((Grid_BD[[#This Row],[Sunset Time (POA&lt;20 W/m2)]]-Grid_BD[[#This Row],[Sunrise Time (POA&gt;20 W/m2)]])*24,"")</f>
        <v>12.733333333333334</v>
      </c>
      <c r="L71" s="7" t="s">
        <v>292</v>
      </c>
      <c r="M71" s="67">
        <v>8020.9</v>
      </c>
      <c r="N71" s="208">
        <f>IFERROR(VLOOKUP(Grid_BD[[#This Row],[Affected Equipment ]],'Basic Data'!$A$2:$C$118,3,0),"")</f>
        <v>1</v>
      </c>
      <c r="O71" s="7" t="s">
        <v>293</v>
      </c>
      <c r="P71" s="7" t="s">
        <v>19</v>
      </c>
      <c r="R71" s="182" t="s">
        <v>294</v>
      </c>
      <c r="S71" s="207">
        <v>0.75624999999999998</v>
      </c>
      <c r="V71" s="207">
        <v>0.77222222222222225</v>
      </c>
      <c r="Y71" s="111">
        <f>(Grid_BD[[#This Row],[Work Completion time on fault]]-Grid_BD[[#This Row],[Fault Time]])*24</f>
        <v>0.38333333333333464</v>
      </c>
      <c r="Z71" s="67">
        <f>(Grid_BD[[#This Row],[Work Completion time on fault]]-Grid_BD[[#This Row],[Fault Time]])*24</f>
        <v>0.38333333333333464</v>
      </c>
      <c r="AB71" s="7" t="s">
        <v>73</v>
      </c>
      <c r="AC71" s="67">
        <f>IFERROR(Grid_BD[[#This Row],[Plant Equivalent Weightage]]*Grid_BD[[#This Row],[Resolution Time]],"")</f>
        <v>0.38333333333333464</v>
      </c>
      <c r="AD71" s="7">
        <v>0.01</v>
      </c>
      <c r="AE71" s="111">
        <f>Grid_BD[[#This Row],[Lost PoA(kWh/m2)]]*Grid_BD[[#This Row],[DC Capacity Affected (kW)]]*_xlfn.XLOOKUP(Grid_BD[[#This Row],[Month Year]],'Modelling New'!$D:$D,'Modelling New'!$O:$O)</f>
        <v>57.572139279429742</v>
      </c>
    </row>
    <row r="72" spans="1:31" x14ac:dyDescent="0.3">
      <c r="A72" s="7">
        <v>71</v>
      </c>
      <c r="B72" s="203">
        <v>45872</v>
      </c>
      <c r="C72" s="101">
        <f>YEAR(Grid_BD[[#This Row],[Date]])+IF(MONTH(Grid_BD[[#This Row],[Date]])&gt;=4,1,0)</f>
        <v>2026</v>
      </c>
      <c r="D72" s="245">
        <f>YEAR(Grid_BD[[#This Row],[Date]])</f>
        <v>2025</v>
      </c>
      <c r="E72" s="204" t="s">
        <v>317</v>
      </c>
      <c r="F72" s="204" t="s">
        <v>317</v>
      </c>
      <c r="G72" s="246">
        <f>Grid_BD[[#This Row],[Date]]-DAY(Grid_BD[[#This Row],[Date]])+1</f>
        <v>45870</v>
      </c>
      <c r="H72" s="247">
        <f>DAY(EOMONTH(Grid_BD[[#This Row],[Month Year]],0))</f>
        <v>31</v>
      </c>
      <c r="I72" s="207">
        <f>_xlfn.XLOOKUP(Grid_BD[[#This Row],[Date]],'Raw Data'!$G:$G,'Raw Data'!$I:$I)</f>
        <v>0.25</v>
      </c>
      <c r="J72" s="207">
        <f>_xlfn.XLOOKUP(Grid_BD[[#This Row],[Date]],'Raw Data'!$G:$G,'Raw Data'!$J:$J)</f>
        <v>0.77777777777777779</v>
      </c>
      <c r="K72" s="111">
        <f>IFERROR((Grid_BD[[#This Row],[Sunset Time (POA&lt;20 W/m2)]]-Grid_BD[[#This Row],[Sunrise Time (POA&gt;20 W/m2)]])*24,"")</f>
        <v>12.666666666666668</v>
      </c>
      <c r="L72" s="7" t="s">
        <v>292</v>
      </c>
      <c r="M72" s="67">
        <v>8020.9</v>
      </c>
      <c r="N72" s="208">
        <f>IFERROR(VLOOKUP(Grid_BD[[#This Row],[Affected Equipment ]],'Basic Data'!$A$2:$C$118,3,0),"")</f>
        <v>1</v>
      </c>
      <c r="O72" s="7" t="s">
        <v>293</v>
      </c>
      <c r="P72" s="7" t="s">
        <v>19</v>
      </c>
      <c r="R72" s="182" t="s">
        <v>294</v>
      </c>
      <c r="S72" s="207">
        <v>0.71250000000000002</v>
      </c>
      <c r="V72" s="207">
        <v>0.72083333333333333</v>
      </c>
      <c r="Y72" s="111">
        <f>(Grid_BD[[#This Row],[Work Completion time on fault]]-Grid_BD[[#This Row],[Fault Time]])*24</f>
        <v>0.19999999999999929</v>
      </c>
      <c r="Z72" s="67">
        <f>(Grid_BD[[#This Row],[Work Completion time on fault]]-Grid_BD[[#This Row],[Fault Time]])*24</f>
        <v>0.19999999999999929</v>
      </c>
      <c r="AB72" s="7" t="s">
        <v>73</v>
      </c>
      <c r="AC72" s="67">
        <f>IFERROR(Grid_BD[[#This Row],[Plant Equivalent Weightage]]*Grid_BD[[#This Row],[Resolution Time]],"")</f>
        <v>0.19999999999999929</v>
      </c>
      <c r="AD72" s="7">
        <v>0.03</v>
      </c>
      <c r="AE72" s="111">
        <f>Grid_BD[[#This Row],[Lost PoA(kWh/m2)]]*Grid_BD[[#This Row],[DC Capacity Affected (kW)]]*_xlfn.XLOOKUP(Grid_BD[[#This Row],[Month Year]],'Modelling New'!$D:$D,'Modelling New'!$O:$O)</f>
        <v>172.7164178382892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4326DF1-F4AD-4144-8AAD-F8E194440453}">
          <x14:formula1>
            <xm:f>'Basic Data'!$A$2:$A$818</xm:f>
          </x14:formula1>
          <xm:sqref>L2:L1048576</xm:sqref>
        </x14:dataValidation>
        <x14:dataValidation type="list" allowBlank="1" showInputMessage="1" showErrorMessage="1" xr:uid="{CD520F76-1720-4D31-8A83-6DCAEFD60E3C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AD504"/>
  <sheetViews>
    <sheetView topLeftCell="A2" workbookViewId="0">
      <pane xSplit="8" ySplit="1" topLeftCell="I50" activePane="bottomRight" state="frozen"/>
      <selection activeCell="A2" sqref="A2"/>
      <selection pane="topRight" activeCell="I2" sqref="I2"/>
      <selection pane="bottomLeft" activeCell="A3" sqref="A3"/>
      <selection pane="bottomRight" activeCell="I77" sqref="I77"/>
    </sheetView>
  </sheetViews>
  <sheetFormatPr defaultRowHeight="14.4" x14ac:dyDescent="0.3"/>
  <cols>
    <col min="1" max="1" width="6.21875" bestFit="1" customWidth="1"/>
    <col min="2" max="2" width="10.5546875" bestFit="1" customWidth="1"/>
    <col min="3" max="3" width="12" bestFit="1" customWidth="1"/>
    <col min="4" max="4" width="10" bestFit="1" customWidth="1"/>
    <col min="5" max="5" width="12.77734375" bestFit="1" customWidth="1"/>
    <col min="6" max="6" width="10.2187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77734375" bestFit="1" customWidth="1"/>
    <col min="11" max="22" width="11.5546875" bestFit="1" customWidth="1"/>
    <col min="23" max="23" width="8.21875" style="2" bestFit="1" customWidth="1"/>
    <col min="24" max="24" width="11.77734375" bestFit="1" customWidth="1"/>
    <col min="25" max="25" width="10.77734375" bestFit="1" customWidth="1"/>
    <col min="26" max="26" width="11.21875" bestFit="1" customWidth="1"/>
    <col min="27" max="28" width="10.21875" bestFit="1" customWidth="1"/>
    <col min="29" max="29" width="9.77734375" bestFit="1" customWidth="1"/>
    <col min="30" max="30" width="42.21875" bestFit="1" customWidth="1"/>
  </cols>
  <sheetData>
    <row r="1" spans="1:30" hidden="1" x14ac:dyDescent="0.3"/>
    <row r="2" spans="1:30" s="13" customFormat="1" ht="55.2" x14ac:dyDescent="0.3">
      <c r="A2" s="62" t="s">
        <v>57</v>
      </c>
      <c r="B2" s="62" t="s">
        <v>51</v>
      </c>
      <c r="C2" s="62" t="s">
        <v>52</v>
      </c>
      <c r="D2" s="62" t="s">
        <v>53</v>
      </c>
      <c r="E2" s="62" t="s">
        <v>56</v>
      </c>
      <c r="F2" s="62" t="s">
        <v>39</v>
      </c>
      <c r="G2" s="62" t="s">
        <v>54</v>
      </c>
      <c r="H2" s="65" t="s">
        <v>40</v>
      </c>
      <c r="I2" s="62" t="s">
        <v>132</v>
      </c>
      <c r="J2" s="62" t="s">
        <v>133</v>
      </c>
      <c r="K2" s="62" t="s">
        <v>219</v>
      </c>
      <c r="L2" s="62" t="s">
        <v>220</v>
      </c>
      <c r="M2" s="62" t="s">
        <v>221</v>
      </c>
      <c r="N2" s="62" t="s">
        <v>222</v>
      </c>
      <c r="O2" s="62" t="s">
        <v>223</v>
      </c>
      <c r="P2" s="62" t="s">
        <v>224</v>
      </c>
      <c r="Q2" s="62" t="s">
        <v>225</v>
      </c>
      <c r="R2" s="62" t="s">
        <v>226</v>
      </c>
      <c r="S2" s="62" t="s">
        <v>228</v>
      </c>
      <c r="T2" s="62" t="s">
        <v>229</v>
      </c>
      <c r="U2" s="62" t="s">
        <v>230</v>
      </c>
      <c r="V2" s="62" t="s">
        <v>227</v>
      </c>
      <c r="W2" s="62" t="s">
        <v>308</v>
      </c>
      <c r="X2" s="62" t="s">
        <v>134</v>
      </c>
      <c r="Y2" s="62" t="s">
        <v>135</v>
      </c>
      <c r="Z2" s="62" t="s">
        <v>136</v>
      </c>
      <c r="AA2" s="62" t="s">
        <v>137</v>
      </c>
      <c r="AB2" s="62" t="s">
        <v>138</v>
      </c>
      <c r="AC2" s="62" t="s">
        <v>140</v>
      </c>
      <c r="AD2" s="62" t="s">
        <v>139</v>
      </c>
    </row>
    <row r="3" spans="1:30" x14ac:dyDescent="0.3">
      <c r="A3" s="51">
        <v>1</v>
      </c>
      <c r="B3" s="54">
        <f>YEAR(Mod_CL[[#This Row],[Date]])+IF(MONTH(Mod_CL[[#This Row],[Date]])&gt;=4,1,0)</f>
        <v>2025</v>
      </c>
      <c r="C3" s="54">
        <f>YEAR(Mod_CL[[#This Row],[Date]])</f>
        <v>2025</v>
      </c>
      <c r="D3" s="54" t="s">
        <v>1070</v>
      </c>
      <c r="E3" s="54" t="s">
        <v>1070</v>
      </c>
      <c r="F3" s="2" t="str">
        <f>TEXT(Mod_CL[[#This Row],[Date]],"mmm-yy")</f>
        <v>Mar-25</v>
      </c>
      <c r="G3" s="2">
        <f>DAY(EOMONTH(Mod_CL[[#This Row],[Month Year]],0))</f>
        <v>31</v>
      </c>
      <c r="H3" s="95">
        <v>45745</v>
      </c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2">
        <f>SUM(Mod_CL[[#This Row],[Inv 1 (630kw) unit 1]:[Inv 3 (630kw) unit 4]])</f>
        <v>0</v>
      </c>
      <c r="X3" s="51"/>
      <c r="Y3" s="51"/>
      <c r="Z3" s="51"/>
      <c r="AA3" s="51"/>
      <c r="AB3" s="51"/>
      <c r="AC3" s="51"/>
      <c r="AD3" s="51" t="s">
        <v>1039</v>
      </c>
    </row>
    <row r="4" spans="1:30" x14ac:dyDescent="0.3">
      <c r="A4" s="51">
        <f>A3+1</f>
        <v>2</v>
      </c>
      <c r="B4" s="54">
        <f>YEAR(Mod_CL[[#This Row],[Date]])+IF(MONTH(Mod_CL[[#This Row],[Date]])&gt;=4,1,0)</f>
        <v>2025</v>
      </c>
      <c r="C4" s="54">
        <f>YEAR(Mod_CL[[#This Row],[Date]])</f>
        <v>2025</v>
      </c>
      <c r="D4" s="54" t="s">
        <v>1070</v>
      </c>
      <c r="E4" s="54" t="s">
        <v>1070</v>
      </c>
      <c r="F4" s="2" t="str">
        <f>TEXT(Mod_CL[[#This Row],[Date]],"mmm-yy")</f>
        <v>Mar-25</v>
      </c>
      <c r="G4" s="2">
        <f>DAY(EOMONTH(Mod_CL[[#This Row],[Month Year]],0))</f>
        <v>31</v>
      </c>
      <c r="H4" s="95">
        <f>H3+1</f>
        <v>45746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2">
        <f>SUM(Mod_CL[[#This Row],[Inv 1 (630kw) unit 1]:[Inv 3 (630kw) unit 4]])</f>
        <v>0</v>
      </c>
      <c r="X4" s="51"/>
      <c r="Y4" s="51"/>
      <c r="Z4" s="51"/>
      <c r="AA4" s="51"/>
      <c r="AB4" s="51"/>
      <c r="AC4" s="51"/>
      <c r="AD4" s="51" t="s">
        <v>1039</v>
      </c>
    </row>
    <row r="5" spans="1:30" x14ac:dyDescent="0.3">
      <c r="A5" s="51">
        <f t="shared" ref="A5:A41" si="0">A4+1</f>
        <v>3</v>
      </c>
      <c r="B5" s="54">
        <f>YEAR(Mod_CL[[#This Row],[Date]])+IF(MONTH(Mod_CL[[#This Row],[Date]])&gt;=4,1,0)</f>
        <v>2025</v>
      </c>
      <c r="C5" s="54">
        <f>YEAR(Mod_CL[[#This Row],[Date]])</f>
        <v>2025</v>
      </c>
      <c r="D5" s="54" t="s">
        <v>1070</v>
      </c>
      <c r="E5" s="54" t="s">
        <v>1070</v>
      </c>
      <c r="F5" s="2" t="str">
        <f>TEXT(Mod_CL[[#This Row],[Date]],"mmm-yy")</f>
        <v>Mar-25</v>
      </c>
      <c r="G5" s="2">
        <f>DAY(EOMONTH(Mod_CL[[#This Row],[Month Year]],0))</f>
        <v>31</v>
      </c>
      <c r="H5" s="95">
        <f t="shared" ref="H5:H68" si="1">H4+1</f>
        <v>45747</v>
      </c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2">
        <f>SUM(Mod_CL[[#This Row],[Inv 1 (630kw) unit 1]:[Inv 3 (630kw) unit 4]])</f>
        <v>0</v>
      </c>
      <c r="X5" s="51"/>
      <c r="Y5" s="51"/>
      <c r="Z5" s="51"/>
      <c r="AA5" s="51"/>
      <c r="AB5" s="51"/>
      <c r="AC5" s="51"/>
      <c r="AD5" s="51" t="s">
        <v>1039</v>
      </c>
    </row>
    <row r="6" spans="1:30" x14ac:dyDescent="0.3">
      <c r="A6" s="51">
        <f t="shared" si="0"/>
        <v>4</v>
      </c>
      <c r="B6" s="54">
        <f>YEAR(Mod_CL[[#This Row],[Date]])+IF(MONTH(Mod_CL[[#This Row],[Date]])&gt;=4,1,0)</f>
        <v>2026</v>
      </c>
      <c r="C6" s="54">
        <f>YEAR(Mod_CL[[#This Row],[Date]])</f>
        <v>2025</v>
      </c>
      <c r="D6" s="54" t="s">
        <v>1070</v>
      </c>
      <c r="E6" s="54" t="s">
        <v>1070</v>
      </c>
      <c r="F6" s="2" t="str">
        <f>TEXT(Mod_CL[[#This Row],[Date]],"mmm-yy")</f>
        <v>Apr-25</v>
      </c>
      <c r="G6" s="2">
        <f>DAY(EOMONTH(Mod_CL[[#This Row],[Month Year]],0))</f>
        <v>30</v>
      </c>
      <c r="H6" s="95">
        <f t="shared" si="1"/>
        <v>45748</v>
      </c>
      <c r="I6" s="51">
        <v>1</v>
      </c>
      <c r="J6" s="51">
        <v>2</v>
      </c>
      <c r="K6" s="51">
        <v>2160</v>
      </c>
      <c r="L6" s="51">
        <v>2160</v>
      </c>
      <c r="M6" s="51">
        <v>2160</v>
      </c>
      <c r="N6" s="51">
        <v>2160</v>
      </c>
      <c r="O6" s="51"/>
      <c r="P6" s="51"/>
      <c r="Q6" s="51"/>
      <c r="R6" s="51"/>
      <c r="S6" s="51"/>
      <c r="T6" s="51"/>
      <c r="U6" s="51"/>
      <c r="V6" s="51"/>
      <c r="W6" s="2">
        <f>SUM(Mod_CL[[#This Row],[Inv 1 (630kw) unit 1]:[Inv 3 (630kw) unit 4]])</f>
        <v>8640</v>
      </c>
      <c r="X6" s="51"/>
      <c r="Y6" s="51"/>
      <c r="Z6" s="51"/>
      <c r="AA6" s="51"/>
      <c r="AB6" s="51"/>
      <c r="AC6" s="51"/>
      <c r="AD6" s="51"/>
    </row>
    <row r="7" spans="1:30" x14ac:dyDescent="0.3">
      <c r="A7" s="51">
        <f t="shared" si="0"/>
        <v>5</v>
      </c>
      <c r="B7" s="54">
        <f>YEAR(Mod_CL[[#This Row],[Date]])+IF(MONTH(Mod_CL[[#This Row],[Date]])&gt;=4,1,0)</f>
        <v>2026</v>
      </c>
      <c r="C7" s="54">
        <f>YEAR(Mod_CL[[#This Row],[Date]])</f>
        <v>2025</v>
      </c>
      <c r="D7" s="54" t="s">
        <v>1070</v>
      </c>
      <c r="E7" s="54" t="s">
        <v>1070</v>
      </c>
      <c r="F7" s="2" t="str">
        <f>TEXT(Mod_CL[[#This Row],[Date]],"mmm-yy")</f>
        <v>Apr-25</v>
      </c>
      <c r="G7" s="2">
        <f>DAY(EOMONTH(Mod_CL[[#This Row],[Month Year]],0))</f>
        <v>30</v>
      </c>
      <c r="H7" s="95">
        <f t="shared" si="1"/>
        <v>45749</v>
      </c>
      <c r="I7" s="51">
        <v>1</v>
      </c>
      <c r="J7" s="51">
        <v>2</v>
      </c>
      <c r="K7" s="51"/>
      <c r="L7" s="51"/>
      <c r="M7" s="51"/>
      <c r="N7" s="51"/>
      <c r="O7" s="51">
        <v>2160</v>
      </c>
      <c r="P7" s="51">
        <v>2160</v>
      </c>
      <c r="Q7" s="51">
        <v>2160</v>
      </c>
      <c r="R7" s="51">
        <v>2160</v>
      </c>
      <c r="S7" s="51"/>
      <c r="T7" s="51"/>
      <c r="U7" s="51"/>
      <c r="V7" s="51"/>
      <c r="W7" s="2">
        <f>SUM(Mod_CL[[#This Row],[Inv 1 (630kw) unit 1]:[Inv 3 (630kw) unit 4]])</f>
        <v>8640</v>
      </c>
      <c r="X7" s="51"/>
      <c r="Y7" s="51"/>
      <c r="Z7" s="51"/>
      <c r="AA7" s="51"/>
      <c r="AB7" s="51"/>
      <c r="AC7" s="51"/>
      <c r="AD7" s="51"/>
    </row>
    <row r="8" spans="1:30" x14ac:dyDescent="0.3">
      <c r="A8" s="51">
        <f t="shared" si="0"/>
        <v>6</v>
      </c>
      <c r="B8" s="54">
        <f>YEAR(Mod_CL[[#This Row],[Date]])+IF(MONTH(Mod_CL[[#This Row],[Date]])&gt;=4,1,0)</f>
        <v>2026</v>
      </c>
      <c r="C8" s="54">
        <f>YEAR(Mod_CL[[#This Row],[Date]])</f>
        <v>2025</v>
      </c>
      <c r="D8" s="54" t="s">
        <v>1070</v>
      </c>
      <c r="E8" s="54" t="s">
        <v>1070</v>
      </c>
      <c r="F8" s="2" t="str">
        <f>TEXT(Mod_CL[[#This Row],[Date]],"mmm-yy")</f>
        <v>Apr-25</v>
      </c>
      <c r="G8" s="2">
        <f>DAY(EOMONTH(Mod_CL[[#This Row],[Month Year]],0))</f>
        <v>30</v>
      </c>
      <c r="H8" s="95">
        <f t="shared" si="1"/>
        <v>45750</v>
      </c>
      <c r="I8" s="51">
        <v>1</v>
      </c>
      <c r="J8" s="51">
        <v>2</v>
      </c>
      <c r="K8" s="51"/>
      <c r="L8" s="51"/>
      <c r="M8" s="51"/>
      <c r="N8" s="51"/>
      <c r="O8" s="51"/>
      <c r="P8" s="51"/>
      <c r="Q8" s="51"/>
      <c r="R8" s="51"/>
      <c r="S8" s="51">
        <v>2160</v>
      </c>
      <c r="T8" s="51">
        <v>2160</v>
      </c>
      <c r="U8" s="51">
        <v>2160</v>
      </c>
      <c r="V8" s="51">
        <v>2160</v>
      </c>
      <c r="W8" s="2">
        <f>SUM(Mod_CL[[#This Row],[Inv 1 (630kw) unit 1]:[Inv 3 (630kw) unit 4]])</f>
        <v>8640</v>
      </c>
      <c r="X8" s="51"/>
      <c r="Y8" s="51"/>
      <c r="Z8" s="51"/>
      <c r="AA8" s="51"/>
      <c r="AB8" s="51"/>
      <c r="AC8" s="51"/>
      <c r="AD8" s="51"/>
    </row>
    <row r="9" spans="1:30" x14ac:dyDescent="0.3">
      <c r="A9" s="51">
        <f t="shared" si="0"/>
        <v>7</v>
      </c>
      <c r="B9" s="54">
        <f>YEAR(Mod_CL[[#This Row],[Date]])+IF(MONTH(Mod_CL[[#This Row],[Date]])&gt;=4,1,0)</f>
        <v>2026</v>
      </c>
      <c r="C9" s="54">
        <f>YEAR(Mod_CL[[#This Row],[Date]])</f>
        <v>2025</v>
      </c>
      <c r="D9" s="54" t="s">
        <v>1070</v>
      </c>
      <c r="E9" s="54" t="s">
        <v>1070</v>
      </c>
      <c r="F9" s="2" t="str">
        <f>TEXT(Mod_CL[[#This Row],[Date]],"mmm-yy")</f>
        <v>Apr-25</v>
      </c>
      <c r="G9" s="2">
        <f>DAY(EOMONTH(Mod_CL[[#This Row],[Month Year]],0))</f>
        <v>30</v>
      </c>
      <c r="H9" s="95">
        <f t="shared" si="1"/>
        <v>45751</v>
      </c>
      <c r="I9" s="51">
        <v>2</v>
      </c>
      <c r="J9" s="51">
        <v>2</v>
      </c>
      <c r="K9" s="51">
        <v>2160</v>
      </c>
      <c r="L9" s="51">
        <v>2160</v>
      </c>
      <c r="M9" s="51">
        <v>2160</v>
      </c>
      <c r="N9" s="51">
        <v>2160</v>
      </c>
      <c r="O9" s="51"/>
      <c r="P9" s="51"/>
      <c r="Q9" s="51"/>
      <c r="R9" s="51"/>
      <c r="S9" s="51"/>
      <c r="T9" s="51"/>
      <c r="U9" s="51"/>
      <c r="V9" s="51"/>
      <c r="W9" s="2">
        <f>SUM(Mod_CL[[#This Row],[Inv 1 (630kw) unit 1]:[Inv 3 (630kw) unit 4]])</f>
        <v>8640</v>
      </c>
      <c r="X9" s="51"/>
      <c r="Y9" s="51"/>
      <c r="Z9" s="51"/>
      <c r="AA9" s="51"/>
      <c r="AB9" s="51"/>
      <c r="AC9" s="51"/>
      <c r="AD9" s="51"/>
    </row>
    <row r="10" spans="1:30" x14ac:dyDescent="0.3">
      <c r="A10" s="51">
        <f t="shared" si="0"/>
        <v>8</v>
      </c>
      <c r="B10" s="54">
        <f>YEAR(Mod_CL[[#This Row],[Date]])+IF(MONTH(Mod_CL[[#This Row],[Date]])&gt;=4,1,0)</f>
        <v>2026</v>
      </c>
      <c r="C10" s="54">
        <f>YEAR(Mod_CL[[#This Row],[Date]])</f>
        <v>2025</v>
      </c>
      <c r="D10" s="54" t="s">
        <v>1070</v>
      </c>
      <c r="E10" s="54" t="s">
        <v>1070</v>
      </c>
      <c r="F10" s="2" t="str">
        <f>TEXT(Mod_CL[[#This Row],[Date]],"mmm-yy")</f>
        <v>Apr-25</v>
      </c>
      <c r="G10" s="2">
        <f>DAY(EOMONTH(Mod_CL[[#This Row],[Month Year]],0))</f>
        <v>30</v>
      </c>
      <c r="H10" s="95">
        <f t="shared" si="1"/>
        <v>45752</v>
      </c>
      <c r="I10" s="51">
        <v>2</v>
      </c>
      <c r="J10" s="51">
        <v>2</v>
      </c>
      <c r="K10" s="51"/>
      <c r="L10" s="51"/>
      <c r="M10" s="51"/>
      <c r="N10" s="51"/>
      <c r="O10" s="51">
        <v>2160</v>
      </c>
      <c r="P10" s="51">
        <v>2160</v>
      </c>
      <c r="Q10" s="51">
        <v>2160</v>
      </c>
      <c r="R10" s="51">
        <v>2160</v>
      </c>
      <c r="S10" s="51"/>
      <c r="T10" s="51"/>
      <c r="U10" s="51"/>
      <c r="V10" s="51"/>
      <c r="W10" s="2">
        <f>SUM(Mod_CL[[#This Row],[Inv 1 (630kw) unit 1]:[Inv 3 (630kw) unit 4]])</f>
        <v>8640</v>
      </c>
      <c r="X10" s="51"/>
      <c r="Y10" s="51"/>
      <c r="Z10" s="51"/>
      <c r="AA10" s="51"/>
      <c r="AB10" s="51"/>
      <c r="AC10" s="51"/>
      <c r="AD10" s="51"/>
    </row>
    <row r="11" spans="1:30" x14ac:dyDescent="0.3">
      <c r="A11" s="51">
        <f t="shared" si="0"/>
        <v>9</v>
      </c>
      <c r="B11" s="54">
        <f>YEAR(Mod_CL[[#This Row],[Date]])+IF(MONTH(Mod_CL[[#This Row],[Date]])&gt;=4,1,0)</f>
        <v>2026</v>
      </c>
      <c r="C11" s="54">
        <f>YEAR(Mod_CL[[#This Row],[Date]])</f>
        <v>2025</v>
      </c>
      <c r="D11" s="54" t="s">
        <v>1070</v>
      </c>
      <c r="E11" s="54" t="s">
        <v>1070</v>
      </c>
      <c r="F11" s="2" t="str">
        <f>TEXT(Mod_CL[[#This Row],[Date]],"mmm-yy")</f>
        <v>Apr-25</v>
      </c>
      <c r="G11" s="2">
        <f>DAY(EOMONTH(Mod_CL[[#This Row],[Month Year]],0))</f>
        <v>30</v>
      </c>
      <c r="H11" s="95">
        <f t="shared" si="1"/>
        <v>45753</v>
      </c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2">
        <f>SUM(Mod_CL[[#This Row],[Inv 1 (630kw) unit 1]:[Inv 3 (630kw) unit 4]])</f>
        <v>0</v>
      </c>
      <c r="X11" s="51"/>
      <c r="Y11" s="51"/>
      <c r="Z11" s="51"/>
      <c r="AA11" s="51"/>
      <c r="AB11" s="51"/>
      <c r="AC11" s="51"/>
      <c r="AD11" s="51" t="s">
        <v>1040</v>
      </c>
    </row>
    <row r="12" spans="1:30" x14ac:dyDescent="0.3">
      <c r="A12" s="51">
        <f t="shared" si="0"/>
        <v>10</v>
      </c>
      <c r="B12" s="54">
        <f>YEAR(Mod_CL[[#This Row],[Date]])+IF(MONTH(Mod_CL[[#This Row],[Date]])&gt;=4,1,0)</f>
        <v>2026</v>
      </c>
      <c r="C12" s="54">
        <f>YEAR(Mod_CL[[#This Row],[Date]])</f>
        <v>2025</v>
      </c>
      <c r="D12" s="54" t="s">
        <v>1070</v>
      </c>
      <c r="E12" s="54" t="s">
        <v>1070</v>
      </c>
      <c r="F12" s="2" t="str">
        <f>TEXT(Mod_CL[[#This Row],[Date]],"mmm-yy")</f>
        <v>Apr-25</v>
      </c>
      <c r="G12" s="2">
        <f>DAY(EOMONTH(Mod_CL[[#This Row],[Month Year]],0))</f>
        <v>30</v>
      </c>
      <c r="H12" s="95">
        <f t="shared" si="1"/>
        <v>45754</v>
      </c>
      <c r="I12" s="51">
        <v>2</v>
      </c>
      <c r="J12" s="51">
        <v>2</v>
      </c>
      <c r="K12" s="51"/>
      <c r="L12" s="51"/>
      <c r="M12" s="51"/>
      <c r="N12" s="51"/>
      <c r="O12" s="51"/>
      <c r="P12" s="51"/>
      <c r="Q12" s="51"/>
      <c r="R12" s="51"/>
      <c r="S12" s="51">
        <v>2160</v>
      </c>
      <c r="T12" s="51">
        <v>2160</v>
      </c>
      <c r="U12" s="51">
        <v>2160</v>
      </c>
      <c r="V12" s="51">
        <v>2160</v>
      </c>
      <c r="W12" s="2">
        <f>SUM(Mod_CL[[#This Row],[Inv 1 (630kw) unit 1]:[Inv 3 (630kw) unit 4]])</f>
        <v>8640</v>
      </c>
      <c r="X12" s="51"/>
      <c r="Y12" s="51"/>
      <c r="Z12" s="51"/>
      <c r="AA12" s="51"/>
      <c r="AB12" s="51"/>
      <c r="AC12" s="51"/>
      <c r="AD12" s="51"/>
    </row>
    <row r="13" spans="1:30" x14ac:dyDescent="0.3">
      <c r="A13" s="51">
        <f t="shared" si="0"/>
        <v>11</v>
      </c>
      <c r="B13" s="54">
        <f>YEAR(Mod_CL[[#This Row],[Date]])+IF(MONTH(Mod_CL[[#This Row],[Date]])&gt;=4,1,0)</f>
        <v>2026</v>
      </c>
      <c r="C13" s="54">
        <f>YEAR(Mod_CL[[#This Row],[Date]])</f>
        <v>2025</v>
      </c>
      <c r="D13" s="54" t="s">
        <v>1070</v>
      </c>
      <c r="E13" s="54" t="s">
        <v>1070</v>
      </c>
      <c r="F13" s="2" t="str">
        <f>TEXT(Mod_CL[[#This Row],[Date]],"mmm-yy")</f>
        <v>Apr-25</v>
      </c>
      <c r="G13" s="2">
        <f>DAY(EOMONTH(Mod_CL[[#This Row],[Month Year]],0))</f>
        <v>30</v>
      </c>
      <c r="H13" s="95">
        <f t="shared" si="1"/>
        <v>45755</v>
      </c>
      <c r="I13" s="51">
        <v>3</v>
      </c>
      <c r="J13" s="51">
        <v>2</v>
      </c>
      <c r="K13" s="51">
        <v>2160</v>
      </c>
      <c r="L13" s="51">
        <v>2160</v>
      </c>
      <c r="M13" s="51">
        <v>2160</v>
      </c>
      <c r="N13" s="51">
        <v>2160</v>
      </c>
      <c r="O13" s="51"/>
      <c r="P13" s="51"/>
      <c r="Q13" s="51"/>
      <c r="R13" s="51"/>
      <c r="S13" s="51"/>
      <c r="T13" s="51"/>
      <c r="U13" s="51"/>
      <c r="V13" s="51"/>
      <c r="W13" s="2">
        <f>SUM(Mod_CL[[#This Row],[Inv 1 (630kw) unit 1]:[Inv 3 (630kw) unit 4]])</f>
        <v>8640</v>
      </c>
      <c r="X13" s="51"/>
      <c r="Y13" s="51"/>
      <c r="Z13" s="51"/>
      <c r="AA13" s="51"/>
      <c r="AB13" s="51"/>
      <c r="AC13" s="51"/>
      <c r="AD13" s="51"/>
    </row>
    <row r="14" spans="1:30" x14ac:dyDescent="0.3">
      <c r="A14" s="51">
        <f t="shared" si="0"/>
        <v>12</v>
      </c>
      <c r="B14" s="54">
        <f>YEAR(Mod_CL[[#This Row],[Date]])+IF(MONTH(Mod_CL[[#This Row],[Date]])&gt;=4,1,0)</f>
        <v>2026</v>
      </c>
      <c r="C14" s="54">
        <f>YEAR(Mod_CL[[#This Row],[Date]])</f>
        <v>2025</v>
      </c>
      <c r="D14" s="54" t="s">
        <v>1070</v>
      </c>
      <c r="E14" s="54" t="s">
        <v>1070</v>
      </c>
      <c r="F14" s="2" t="str">
        <f>TEXT(Mod_CL[[#This Row],[Date]],"mmm-yy")</f>
        <v>Apr-25</v>
      </c>
      <c r="G14" s="2">
        <f>DAY(EOMONTH(Mod_CL[[#This Row],[Month Year]],0))</f>
        <v>30</v>
      </c>
      <c r="H14" s="95">
        <f t="shared" si="1"/>
        <v>45756</v>
      </c>
      <c r="I14" s="51">
        <v>3</v>
      </c>
      <c r="J14" s="51">
        <v>2</v>
      </c>
      <c r="K14" s="51"/>
      <c r="L14" s="51"/>
      <c r="M14" s="51"/>
      <c r="N14" s="51"/>
      <c r="O14" s="51">
        <v>2160</v>
      </c>
      <c r="P14" s="51">
        <v>2160</v>
      </c>
      <c r="Q14" s="51">
        <v>2160</v>
      </c>
      <c r="R14" s="51">
        <v>2160</v>
      </c>
      <c r="S14" s="51"/>
      <c r="T14" s="51"/>
      <c r="U14" s="51"/>
      <c r="V14" s="51"/>
      <c r="W14" s="2">
        <f>SUM(Mod_CL[[#This Row],[Inv 1 (630kw) unit 1]:[Inv 3 (630kw) unit 4]])</f>
        <v>8640</v>
      </c>
      <c r="X14" s="51"/>
      <c r="Y14" s="51"/>
      <c r="Z14" s="51"/>
      <c r="AA14" s="51"/>
      <c r="AB14" s="51"/>
      <c r="AC14" s="51"/>
      <c r="AD14" s="51"/>
    </row>
    <row r="15" spans="1:30" x14ac:dyDescent="0.3">
      <c r="A15" s="51">
        <f t="shared" si="0"/>
        <v>13</v>
      </c>
      <c r="B15" s="54">
        <f>YEAR(Mod_CL[[#This Row],[Date]])+IF(MONTH(Mod_CL[[#This Row],[Date]])&gt;=4,1,0)</f>
        <v>2026</v>
      </c>
      <c r="C15" s="54">
        <f>YEAR(Mod_CL[[#This Row],[Date]])</f>
        <v>2025</v>
      </c>
      <c r="D15" s="54" t="s">
        <v>1070</v>
      </c>
      <c r="E15" s="54" t="s">
        <v>1070</v>
      </c>
      <c r="F15" s="2" t="str">
        <f>TEXT(Mod_CL[[#This Row],[Date]],"mmm-yy")</f>
        <v>Apr-25</v>
      </c>
      <c r="G15" s="2">
        <f>DAY(EOMONTH(Mod_CL[[#This Row],[Month Year]],0))</f>
        <v>30</v>
      </c>
      <c r="H15" s="95">
        <f t="shared" si="1"/>
        <v>45757</v>
      </c>
      <c r="I15" s="51">
        <v>3</v>
      </c>
      <c r="J15" s="51">
        <v>2</v>
      </c>
      <c r="K15" s="51"/>
      <c r="L15" s="51"/>
      <c r="M15" s="51"/>
      <c r="N15" s="51"/>
      <c r="O15" s="51"/>
      <c r="P15" s="51"/>
      <c r="Q15" s="51"/>
      <c r="R15" s="51"/>
      <c r="S15" s="51">
        <v>2160</v>
      </c>
      <c r="T15" s="51">
        <v>2160</v>
      </c>
      <c r="U15" s="51">
        <v>2160</v>
      </c>
      <c r="V15" s="51">
        <v>2160</v>
      </c>
      <c r="W15" s="2">
        <f>SUM(Mod_CL[[#This Row],[Inv 1 (630kw) unit 1]:[Inv 3 (630kw) unit 4]])</f>
        <v>8640</v>
      </c>
      <c r="X15" s="51"/>
      <c r="Y15" s="51"/>
      <c r="Z15" s="51"/>
      <c r="AA15" s="51"/>
      <c r="AB15" s="51"/>
      <c r="AC15" s="51"/>
      <c r="AD15" s="51"/>
    </row>
    <row r="16" spans="1:30" x14ac:dyDescent="0.3">
      <c r="A16" s="51">
        <f t="shared" si="0"/>
        <v>14</v>
      </c>
      <c r="B16" s="54">
        <f>YEAR(Mod_CL[[#This Row],[Date]])+IF(MONTH(Mod_CL[[#This Row],[Date]])&gt;=4,1,0)</f>
        <v>2026</v>
      </c>
      <c r="C16" s="54">
        <f>YEAR(Mod_CL[[#This Row],[Date]])</f>
        <v>2025</v>
      </c>
      <c r="D16" s="54" t="s">
        <v>1070</v>
      </c>
      <c r="E16" s="54" t="s">
        <v>1070</v>
      </c>
      <c r="F16" s="2" t="str">
        <f>TEXT(Mod_CL[[#This Row],[Date]],"mmm-yy")</f>
        <v>Apr-25</v>
      </c>
      <c r="G16" s="2">
        <f>DAY(EOMONTH(Mod_CL[[#This Row],[Month Year]],0))</f>
        <v>30</v>
      </c>
      <c r="H16" s="95">
        <f t="shared" si="1"/>
        <v>45758</v>
      </c>
      <c r="I16" s="51">
        <v>4</v>
      </c>
      <c r="J16" s="51">
        <v>2</v>
      </c>
      <c r="K16" s="51">
        <v>2160</v>
      </c>
      <c r="L16" s="51">
        <v>2160</v>
      </c>
      <c r="M16" s="51">
        <v>2160</v>
      </c>
      <c r="N16" s="51">
        <v>2160</v>
      </c>
      <c r="O16" s="51"/>
      <c r="P16" s="51"/>
      <c r="Q16" s="51"/>
      <c r="R16" s="51"/>
      <c r="S16" s="51"/>
      <c r="T16" s="51"/>
      <c r="U16" s="51"/>
      <c r="V16" s="51"/>
      <c r="W16" s="2">
        <f>SUM(Mod_CL[[#This Row],[Inv 1 (630kw) unit 1]:[Inv 3 (630kw) unit 4]])</f>
        <v>8640</v>
      </c>
      <c r="X16" s="51"/>
      <c r="Y16" s="51"/>
      <c r="Z16" s="51"/>
      <c r="AA16" s="51"/>
      <c r="AB16" s="51"/>
      <c r="AC16" s="51"/>
      <c r="AD16" s="51"/>
    </row>
    <row r="17" spans="1:30" x14ac:dyDescent="0.3">
      <c r="A17" s="51">
        <f t="shared" si="0"/>
        <v>15</v>
      </c>
      <c r="B17" s="54">
        <f>YEAR(Mod_CL[[#This Row],[Date]])+IF(MONTH(Mod_CL[[#This Row],[Date]])&gt;=4,1,0)</f>
        <v>2026</v>
      </c>
      <c r="C17" s="54">
        <f>YEAR(Mod_CL[[#This Row],[Date]])</f>
        <v>2025</v>
      </c>
      <c r="D17" s="54" t="s">
        <v>1070</v>
      </c>
      <c r="E17" s="54" t="s">
        <v>1070</v>
      </c>
      <c r="F17" s="2" t="str">
        <f>TEXT(Mod_CL[[#This Row],[Date]],"mmm-yy")</f>
        <v>Apr-25</v>
      </c>
      <c r="G17" s="2">
        <f>DAY(EOMONTH(Mod_CL[[#This Row],[Month Year]],0))</f>
        <v>30</v>
      </c>
      <c r="H17" s="95">
        <f t="shared" si="1"/>
        <v>45759</v>
      </c>
      <c r="I17" s="51">
        <v>4</v>
      </c>
      <c r="J17" s="51">
        <v>2</v>
      </c>
      <c r="K17" s="51"/>
      <c r="L17" s="51"/>
      <c r="M17" s="51"/>
      <c r="N17" s="51"/>
      <c r="O17" s="51">
        <v>2160</v>
      </c>
      <c r="P17" s="51">
        <v>2160</v>
      </c>
      <c r="Q17" s="51">
        <v>2160</v>
      </c>
      <c r="R17" s="51">
        <v>2160</v>
      </c>
      <c r="S17" s="51"/>
      <c r="T17" s="51"/>
      <c r="U17" s="51"/>
      <c r="V17" s="51"/>
      <c r="W17" s="2">
        <f>SUM(Mod_CL[[#This Row],[Inv 1 (630kw) unit 1]:[Inv 3 (630kw) unit 4]])</f>
        <v>8640</v>
      </c>
      <c r="X17" s="51"/>
      <c r="Y17" s="51"/>
      <c r="Z17" s="51"/>
      <c r="AA17" s="51"/>
      <c r="AB17" s="51"/>
      <c r="AC17" s="51"/>
      <c r="AD17" s="51"/>
    </row>
    <row r="18" spans="1:30" x14ac:dyDescent="0.3">
      <c r="A18" s="51">
        <f t="shared" si="0"/>
        <v>16</v>
      </c>
      <c r="B18" s="54">
        <f>YEAR(Mod_CL[[#This Row],[Date]])+IF(MONTH(Mod_CL[[#This Row],[Date]])&gt;=4,1,0)</f>
        <v>2026</v>
      </c>
      <c r="C18" s="54">
        <f>YEAR(Mod_CL[[#This Row],[Date]])</f>
        <v>2025</v>
      </c>
      <c r="D18" s="54" t="s">
        <v>1070</v>
      </c>
      <c r="E18" s="54" t="s">
        <v>1070</v>
      </c>
      <c r="F18" s="2" t="str">
        <f>TEXT(Mod_CL[[#This Row],[Date]],"mmm-yy")</f>
        <v>Apr-25</v>
      </c>
      <c r="G18" s="2">
        <f>DAY(EOMONTH(Mod_CL[[#This Row],[Month Year]],0))</f>
        <v>30</v>
      </c>
      <c r="H18" s="95">
        <f t="shared" si="1"/>
        <v>45760</v>
      </c>
      <c r="I18" s="51">
        <v>4</v>
      </c>
      <c r="J18" s="51">
        <v>2</v>
      </c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2">
        <f>SUM(Mod_CL[[#This Row],[Inv 1 (630kw) unit 1]:[Inv 3 (630kw) unit 4]])</f>
        <v>0</v>
      </c>
      <c r="X18" s="51"/>
      <c r="Y18" s="51"/>
      <c r="Z18" s="51"/>
      <c r="AA18" s="51"/>
      <c r="AB18" s="51"/>
      <c r="AC18" s="51"/>
      <c r="AD18" s="51" t="s">
        <v>1040</v>
      </c>
    </row>
    <row r="19" spans="1:30" x14ac:dyDescent="0.3">
      <c r="A19" s="51">
        <f t="shared" si="0"/>
        <v>17</v>
      </c>
      <c r="B19" s="54">
        <f>YEAR(Mod_CL[[#This Row],[Date]])+IF(MONTH(Mod_CL[[#This Row],[Date]])&gt;=4,1,0)</f>
        <v>2026</v>
      </c>
      <c r="C19" s="54">
        <f>YEAR(Mod_CL[[#This Row],[Date]])</f>
        <v>2025</v>
      </c>
      <c r="D19" s="54" t="s">
        <v>1070</v>
      </c>
      <c r="E19" s="54" t="s">
        <v>1070</v>
      </c>
      <c r="F19" s="2" t="str">
        <f>TEXT(Mod_CL[[#This Row],[Date]],"mmm-yy")</f>
        <v>Apr-25</v>
      </c>
      <c r="G19" s="2">
        <f>DAY(EOMONTH(Mod_CL[[#This Row],[Month Year]],0))</f>
        <v>30</v>
      </c>
      <c r="H19" s="95">
        <f t="shared" si="1"/>
        <v>45761</v>
      </c>
      <c r="I19" s="51">
        <v>4</v>
      </c>
      <c r="J19" s="51">
        <v>2</v>
      </c>
      <c r="K19" s="51"/>
      <c r="L19" s="51"/>
      <c r="M19" s="51"/>
      <c r="N19" s="51"/>
      <c r="O19" s="51"/>
      <c r="P19" s="51"/>
      <c r="Q19" s="51"/>
      <c r="R19" s="51"/>
      <c r="S19" s="51">
        <v>2160</v>
      </c>
      <c r="T19" s="51">
        <v>2160</v>
      </c>
      <c r="U19" s="51">
        <v>2160</v>
      </c>
      <c r="V19" s="51">
        <v>2160</v>
      </c>
      <c r="W19" s="2">
        <f>SUM(Mod_CL[[#This Row],[Inv 1 (630kw) unit 1]:[Inv 3 (630kw) unit 4]])</f>
        <v>8640</v>
      </c>
      <c r="X19" s="51"/>
      <c r="Y19" s="51"/>
      <c r="Z19" s="51"/>
      <c r="AA19" s="51"/>
      <c r="AB19" s="51"/>
      <c r="AC19" s="51"/>
      <c r="AD19" s="51"/>
    </row>
    <row r="20" spans="1:30" x14ac:dyDescent="0.3">
      <c r="A20" s="51">
        <f t="shared" si="0"/>
        <v>18</v>
      </c>
      <c r="B20" s="54">
        <f>YEAR(Mod_CL[[#This Row],[Date]])+IF(MONTH(Mod_CL[[#This Row],[Date]])&gt;=4,1,0)</f>
        <v>2026</v>
      </c>
      <c r="C20" s="54">
        <f>YEAR(Mod_CL[[#This Row],[Date]])</f>
        <v>2025</v>
      </c>
      <c r="D20" s="54" t="s">
        <v>1070</v>
      </c>
      <c r="E20" s="54" t="s">
        <v>1070</v>
      </c>
      <c r="F20" s="2" t="str">
        <f>TEXT(Mod_CL[[#This Row],[Date]],"mmm-yy")</f>
        <v>Apr-25</v>
      </c>
      <c r="G20" s="2">
        <f>DAY(EOMONTH(Mod_CL[[#This Row],[Month Year]],0))</f>
        <v>30</v>
      </c>
      <c r="H20" s="95">
        <f t="shared" si="1"/>
        <v>45762</v>
      </c>
      <c r="I20" s="61">
        <v>5</v>
      </c>
      <c r="J20" s="61">
        <v>2</v>
      </c>
      <c r="K20" s="51">
        <v>2160</v>
      </c>
      <c r="L20" s="51">
        <v>2160</v>
      </c>
      <c r="M20" s="51">
        <v>2160</v>
      </c>
      <c r="N20" s="51">
        <v>2160</v>
      </c>
      <c r="O20" s="61"/>
      <c r="P20" s="61"/>
      <c r="Q20" s="61"/>
      <c r="R20" s="61"/>
      <c r="S20" s="61"/>
      <c r="T20" s="61"/>
      <c r="U20" s="61"/>
      <c r="V20" s="61"/>
      <c r="W20" s="2">
        <f>SUM(Mod_CL[[#This Row],[Inv 1 (630kw) unit 1]:[Inv 3 (630kw) unit 4]])</f>
        <v>8640</v>
      </c>
      <c r="X20" s="61"/>
      <c r="Y20" s="61"/>
      <c r="Z20" s="61"/>
      <c r="AA20" s="61"/>
      <c r="AB20" s="61"/>
      <c r="AC20" s="61"/>
      <c r="AD20" s="61"/>
    </row>
    <row r="21" spans="1:30" x14ac:dyDescent="0.3">
      <c r="A21" s="51">
        <f t="shared" si="0"/>
        <v>19</v>
      </c>
      <c r="B21" s="54">
        <f>YEAR(Mod_CL[[#This Row],[Date]])+IF(MONTH(Mod_CL[[#This Row],[Date]])&gt;=4,1,0)</f>
        <v>2026</v>
      </c>
      <c r="C21" s="54">
        <f>YEAR(Mod_CL[[#This Row],[Date]])</f>
        <v>2025</v>
      </c>
      <c r="D21" s="54" t="s">
        <v>1070</v>
      </c>
      <c r="E21" s="54" t="s">
        <v>1070</v>
      </c>
      <c r="F21" s="2" t="str">
        <f>TEXT(Mod_CL[[#This Row],[Date]],"mmm-yy")</f>
        <v>Apr-25</v>
      </c>
      <c r="G21" s="2">
        <f>DAY(EOMONTH(Mod_CL[[#This Row],[Month Year]],0))</f>
        <v>30</v>
      </c>
      <c r="H21" s="95">
        <f t="shared" si="1"/>
        <v>45763</v>
      </c>
      <c r="I21" s="51">
        <v>5</v>
      </c>
      <c r="J21" s="51">
        <v>2</v>
      </c>
      <c r="K21" s="51"/>
      <c r="L21" s="51"/>
      <c r="M21" s="51"/>
      <c r="N21" s="51"/>
      <c r="O21" s="51">
        <v>2160</v>
      </c>
      <c r="P21" s="51">
        <v>2160</v>
      </c>
      <c r="Q21" s="51">
        <v>2160</v>
      </c>
      <c r="R21" s="51">
        <v>2160</v>
      </c>
      <c r="S21" s="51"/>
      <c r="T21" s="51"/>
      <c r="U21" s="51"/>
      <c r="V21" s="51"/>
      <c r="W21" s="2">
        <f>SUM(Mod_CL[[#This Row],[Inv 1 (630kw) unit 1]:[Inv 3 (630kw) unit 4]])</f>
        <v>8640</v>
      </c>
      <c r="X21" s="51"/>
      <c r="Y21" s="51"/>
      <c r="Z21" s="51"/>
      <c r="AA21" s="51"/>
      <c r="AB21" s="51"/>
      <c r="AC21" s="51"/>
      <c r="AD21" s="51"/>
    </row>
    <row r="22" spans="1:30" x14ac:dyDescent="0.3">
      <c r="A22" s="51">
        <f t="shared" si="0"/>
        <v>20</v>
      </c>
      <c r="B22" s="54">
        <f>YEAR(Mod_CL[[#This Row],[Date]])+IF(MONTH(Mod_CL[[#This Row],[Date]])&gt;=4,1,0)</f>
        <v>2026</v>
      </c>
      <c r="C22" s="54">
        <f>YEAR(Mod_CL[[#This Row],[Date]])</f>
        <v>2025</v>
      </c>
      <c r="D22" s="54" t="s">
        <v>1070</v>
      </c>
      <c r="E22" s="54" t="s">
        <v>1070</v>
      </c>
      <c r="F22" s="2" t="str">
        <f>TEXT(Mod_CL[[#This Row],[Date]],"mmm-yy")</f>
        <v>Apr-25</v>
      </c>
      <c r="G22" s="2">
        <f>DAY(EOMONTH(Mod_CL[[#This Row],[Month Year]],0))</f>
        <v>30</v>
      </c>
      <c r="H22" s="95">
        <f t="shared" si="1"/>
        <v>45764</v>
      </c>
      <c r="I22" s="51">
        <v>5</v>
      </c>
      <c r="J22" s="51">
        <v>2</v>
      </c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2">
        <f>SUM(Mod_CL[[#This Row],[Inv 1 (630kw) unit 1]:[Inv 3 (630kw) unit 4]])</f>
        <v>0</v>
      </c>
      <c r="X22" s="51"/>
      <c r="Y22" s="51"/>
      <c r="Z22" s="51"/>
      <c r="AA22" s="51"/>
      <c r="AB22" s="51"/>
      <c r="AC22" s="51"/>
      <c r="AD22" s="51" t="s">
        <v>1183</v>
      </c>
    </row>
    <row r="23" spans="1:30" x14ac:dyDescent="0.3">
      <c r="A23" s="51">
        <f t="shared" si="0"/>
        <v>21</v>
      </c>
      <c r="B23" s="54">
        <f>YEAR(Mod_CL[[#This Row],[Date]])+IF(MONTH(Mod_CL[[#This Row],[Date]])&gt;=4,1,0)</f>
        <v>2026</v>
      </c>
      <c r="C23" s="54">
        <f>YEAR(Mod_CL[[#This Row],[Date]])</f>
        <v>2025</v>
      </c>
      <c r="D23" s="54" t="s">
        <v>1070</v>
      </c>
      <c r="E23" s="54" t="s">
        <v>1070</v>
      </c>
      <c r="F23" s="2" t="str">
        <f>TEXT(Mod_CL[[#This Row],[Date]],"mmm-yy")</f>
        <v>Apr-25</v>
      </c>
      <c r="G23" s="2">
        <f>DAY(EOMONTH(Mod_CL[[#This Row],[Month Year]],0))</f>
        <v>30</v>
      </c>
      <c r="H23" s="95">
        <f t="shared" si="1"/>
        <v>45765</v>
      </c>
      <c r="I23" s="51">
        <v>5</v>
      </c>
      <c r="J23" s="51">
        <v>2</v>
      </c>
      <c r="K23" s="51"/>
      <c r="L23" s="51"/>
      <c r="M23" s="51"/>
      <c r="N23" s="51"/>
      <c r="O23" s="51"/>
      <c r="P23" s="51"/>
      <c r="Q23" s="51"/>
      <c r="R23" s="51"/>
      <c r="S23" s="51">
        <v>2160</v>
      </c>
      <c r="T23" s="51">
        <v>2160</v>
      </c>
      <c r="U23" s="51">
        <v>2160</v>
      </c>
      <c r="V23" s="51">
        <v>2160</v>
      </c>
      <c r="W23" s="2">
        <f>SUM(Mod_CL[[#This Row],[Inv 1 (630kw) unit 1]:[Inv 3 (630kw) unit 4]])</f>
        <v>8640</v>
      </c>
      <c r="X23" s="51"/>
      <c r="Y23" s="51"/>
      <c r="Z23" s="51"/>
      <c r="AA23" s="51"/>
      <c r="AB23" s="51"/>
      <c r="AC23" s="51"/>
      <c r="AD23" s="51"/>
    </row>
    <row r="24" spans="1:30" x14ac:dyDescent="0.3">
      <c r="A24" s="51">
        <f t="shared" si="0"/>
        <v>22</v>
      </c>
      <c r="B24" s="54">
        <f>YEAR(Mod_CL[[#This Row],[Date]])+IF(MONTH(Mod_CL[[#This Row],[Date]])&gt;=4,1,0)</f>
        <v>2026</v>
      </c>
      <c r="C24" s="54">
        <f>YEAR(Mod_CL[[#This Row],[Date]])</f>
        <v>2025</v>
      </c>
      <c r="D24" s="54" t="s">
        <v>1070</v>
      </c>
      <c r="E24" s="54" t="s">
        <v>1070</v>
      </c>
      <c r="F24" s="2" t="str">
        <f>TEXT(Mod_CL[[#This Row],[Date]],"mmm-yy")</f>
        <v>Apr-25</v>
      </c>
      <c r="G24" s="2">
        <f>DAY(EOMONTH(Mod_CL[[#This Row],[Month Year]],0))</f>
        <v>30</v>
      </c>
      <c r="H24" s="95">
        <f t="shared" si="1"/>
        <v>45766</v>
      </c>
      <c r="I24" s="51">
        <v>6</v>
      </c>
      <c r="J24" s="51">
        <v>2</v>
      </c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2">
        <f>SUM(Mod_CL[[#This Row],[Inv 1 (630kw) unit 1]:[Inv 3 (630kw) unit 4]])</f>
        <v>0</v>
      </c>
      <c r="X24" s="51"/>
      <c r="Y24" s="51"/>
      <c r="Z24" s="51"/>
      <c r="AA24" s="51"/>
      <c r="AB24" s="51"/>
      <c r="AC24" s="51"/>
      <c r="AD24" s="51" t="s">
        <v>1183</v>
      </c>
    </row>
    <row r="25" spans="1:30" x14ac:dyDescent="0.3">
      <c r="A25" s="51">
        <f t="shared" si="0"/>
        <v>23</v>
      </c>
      <c r="B25" s="54">
        <f>YEAR(Mod_CL[[#This Row],[Date]])+IF(MONTH(Mod_CL[[#This Row],[Date]])&gt;=4,1,0)</f>
        <v>2026</v>
      </c>
      <c r="C25" s="54">
        <f>YEAR(Mod_CL[[#This Row],[Date]])</f>
        <v>2025</v>
      </c>
      <c r="D25" s="54" t="s">
        <v>1070</v>
      </c>
      <c r="E25" s="54" t="s">
        <v>1070</v>
      </c>
      <c r="F25" s="2" t="str">
        <f>TEXT(Mod_CL[[#This Row],[Date]],"mmm-yy")</f>
        <v>Apr-25</v>
      </c>
      <c r="G25" s="2">
        <f>DAY(EOMONTH(Mod_CL[[#This Row],[Month Year]],0))</f>
        <v>30</v>
      </c>
      <c r="H25" s="95">
        <f t="shared" si="1"/>
        <v>45767</v>
      </c>
      <c r="I25" s="51">
        <v>6</v>
      </c>
      <c r="J25" s="51">
        <v>2</v>
      </c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2">
        <f>SUM(Mod_CL[[#This Row],[Inv 1 (630kw) unit 1]:[Inv 3 (630kw) unit 4]])</f>
        <v>0</v>
      </c>
      <c r="X25" s="51"/>
      <c r="Y25" s="51"/>
      <c r="Z25" s="51"/>
      <c r="AA25" s="51"/>
      <c r="AB25" s="51"/>
      <c r="AC25" s="51"/>
      <c r="AD25" s="51"/>
    </row>
    <row r="26" spans="1:30" x14ac:dyDescent="0.3">
      <c r="A26" s="51">
        <f t="shared" si="0"/>
        <v>24</v>
      </c>
      <c r="B26" s="54">
        <f>YEAR(Mod_CL[[#This Row],[Date]])+IF(MONTH(Mod_CL[[#This Row],[Date]])&gt;=4,1,0)</f>
        <v>2026</v>
      </c>
      <c r="C26" s="54">
        <f>YEAR(Mod_CL[[#This Row],[Date]])</f>
        <v>2025</v>
      </c>
      <c r="D26" s="54" t="s">
        <v>1070</v>
      </c>
      <c r="E26" s="54" t="s">
        <v>1070</v>
      </c>
      <c r="F26" s="2" t="str">
        <f>TEXT(Mod_CL[[#This Row],[Date]],"mmm-yy")</f>
        <v>Apr-25</v>
      </c>
      <c r="G26" s="2">
        <f>DAY(EOMONTH(Mod_CL[[#This Row],[Month Year]],0))</f>
        <v>30</v>
      </c>
      <c r="H26" s="95">
        <f t="shared" si="1"/>
        <v>45768</v>
      </c>
      <c r="I26" s="51">
        <v>6</v>
      </c>
      <c r="J26" s="51">
        <v>2</v>
      </c>
      <c r="K26" s="51">
        <v>2160</v>
      </c>
      <c r="L26" s="51">
        <v>2160</v>
      </c>
      <c r="M26" s="51">
        <v>2160</v>
      </c>
      <c r="N26" s="51">
        <v>2160</v>
      </c>
      <c r="O26" s="51"/>
      <c r="P26" s="51"/>
      <c r="Q26" s="51"/>
      <c r="R26" s="51"/>
      <c r="S26" s="51"/>
      <c r="T26" s="51"/>
      <c r="U26" s="51"/>
      <c r="V26" s="51"/>
      <c r="W26" s="2">
        <f>SUM(Mod_CL[[#This Row],[Inv 1 (630kw) unit 1]:[Inv 3 (630kw) unit 4]])</f>
        <v>8640</v>
      </c>
      <c r="X26" s="51"/>
      <c r="Y26" s="51"/>
      <c r="Z26" s="51"/>
      <c r="AA26" s="51"/>
      <c r="AB26" s="51"/>
      <c r="AC26" s="51"/>
      <c r="AD26" s="51"/>
    </row>
    <row r="27" spans="1:30" x14ac:dyDescent="0.3">
      <c r="A27" s="51">
        <f t="shared" si="0"/>
        <v>25</v>
      </c>
      <c r="B27" s="54">
        <f>YEAR(Mod_CL[[#This Row],[Date]])+IF(MONTH(Mod_CL[[#This Row],[Date]])&gt;=4,1,0)</f>
        <v>2026</v>
      </c>
      <c r="C27" s="54">
        <f>YEAR(Mod_CL[[#This Row],[Date]])</f>
        <v>2025</v>
      </c>
      <c r="D27" s="54" t="s">
        <v>1070</v>
      </c>
      <c r="E27" s="54" t="s">
        <v>1070</v>
      </c>
      <c r="F27" s="2" t="str">
        <f>TEXT(Mod_CL[[#This Row],[Date]],"mmm-yy")</f>
        <v>Apr-25</v>
      </c>
      <c r="G27" s="2">
        <f>DAY(EOMONTH(Mod_CL[[#This Row],[Month Year]],0))</f>
        <v>30</v>
      </c>
      <c r="H27" s="95">
        <f t="shared" si="1"/>
        <v>45769</v>
      </c>
      <c r="I27" s="51">
        <v>6</v>
      </c>
      <c r="J27" s="51">
        <v>2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2">
        <f>SUM(Mod_CL[[#This Row],[Inv 1 (630kw) unit 1]:[Inv 3 (630kw) unit 4]])</f>
        <v>0</v>
      </c>
      <c r="X27" s="51"/>
      <c r="Y27" s="51"/>
      <c r="Z27" s="51"/>
      <c r="AA27" s="51"/>
      <c r="AB27" s="51"/>
      <c r="AC27" s="51"/>
      <c r="AD27" s="51" t="s">
        <v>1183</v>
      </c>
    </row>
    <row r="28" spans="1:30" x14ac:dyDescent="0.3">
      <c r="A28" s="51">
        <f t="shared" si="0"/>
        <v>26</v>
      </c>
      <c r="B28" s="54">
        <f>YEAR(Mod_CL[[#This Row],[Date]])+IF(MONTH(Mod_CL[[#This Row],[Date]])&gt;=4,1,0)</f>
        <v>2026</v>
      </c>
      <c r="C28" s="54">
        <f>YEAR(Mod_CL[[#This Row],[Date]])</f>
        <v>2025</v>
      </c>
      <c r="D28" s="54" t="s">
        <v>1070</v>
      </c>
      <c r="E28" s="54" t="s">
        <v>1070</v>
      </c>
      <c r="F28" s="2" t="str">
        <f>TEXT(Mod_CL[[#This Row],[Date]],"mmm-yy")</f>
        <v>Apr-25</v>
      </c>
      <c r="G28" s="2">
        <f>DAY(EOMONTH(Mod_CL[[#This Row],[Month Year]],0))</f>
        <v>30</v>
      </c>
      <c r="H28" s="95">
        <f t="shared" si="1"/>
        <v>45770</v>
      </c>
      <c r="I28" s="51">
        <v>6</v>
      </c>
      <c r="J28" s="51">
        <v>2</v>
      </c>
      <c r="K28" s="51"/>
      <c r="L28" s="51"/>
      <c r="M28" s="51"/>
      <c r="N28" s="51"/>
      <c r="O28" s="51">
        <v>2160</v>
      </c>
      <c r="P28" s="51">
        <v>2160</v>
      </c>
      <c r="Q28" s="51">
        <v>2160</v>
      </c>
      <c r="R28" s="51">
        <v>2160</v>
      </c>
      <c r="S28" s="51"/>
      <c r="T28" s="51"/>
      <c r="U28" s="51"/>
      <c r="V28" s="51"/>
      <c r="W28" s="2">
        <f>SUM(Mod_CL[[#This Row],[Inv 1 (630kw) unit 1]:[Inv 3 (630kw) unit 4]])</f>
        <v>8640</v>
      </c>
      <c r="X28" s="51"/>
      <c r="Y28" s="51"/>
      <c r="Z28" s="51"/>
      <c r="AA28" s="51"/>
      <c r="AB28" s="51"/>
      <c r="AC28" s="51"/>
      <c r="AD28" s="51"/>
    </row>
    <row r="29" spans="1:30" x14ac:dyDescent="0.3">
      <c r="A29" s="51">
        <f t="shared" si="0"/>
        <v>27</v>
      </c>
      <c r="B29" s="54">
        <f>YEAR(Mod_CL[[#This Row],[Date]])+IF(MONTH(Mod_CL[[#This Row],[Date]])&gt;=4,1,0)</f>
        <v>2026</v>
      </c>
      <c r="C29" s="54">
        <f>YEAR(Mod_CL[[#This Row],[Date]])</f>
        <v>2025</v>
      </c>
      <c r="D29" s="54" t="s">
        <v>1070</v>
      </c>
      <c r="E29" s="54" t="s">
        <v>1070</v>
      </c>
      <c r="F29" s="2" t="str">
        <f>TEXT(Mod_CL[[#This Row],[Date]],"mmm-yy")</f>
        <v>Apr-25</v>
      </c>
      <c r="G29" s="2">
        <f>DAY(EOMONTH(Mod_CL[[#This Row],[Month Year]],0))</f>
        <v>30</v>
      </c>
      <c r="H29" s="95">
        <f t="shared" si="1"/>
        <v>45771</v>
      </c>
      <c r="I29" s="51">
        <v>6</v>
      </c>
      <c r="J29" s="51">
        <v>2</v>
      </c>
      <c r="K29" s="51"/>
      <c r="L29" s="51"/>
      <c r="M29" s="51"/>
      <c r="N29" s="51"/>
      <c r="O29" s="51"/>
      <c r="P29" s="51"/>
      <c r="Q29" s="51"/>
      <c r="R29" s="51"/>
      <c r="S29" s="51">
        <v>2160</v>
      </c>
      <c r="T29" s="51">
        <v>2160</v>
      </c>
      <c r="U29" s="51">
        <v>2160</v>
      </c>
      <c r="V29" s="51">
        <v>2160</v>
      </c>
      <c r="W29" s="2">
        <f>SUM(Mod_CL[[#This Row],[Inv 1 (630kw) unit 1]:[Inv 3 (630kw) unit 4]])</f>
        <v>8640</v>
      </c>
      <c r="X29" s="51"/>
      <c r="Y29" s="51"/>
      <c r="Z29" s="51"/>
      <c r="AA29" s="51"/>
      <c r="AB29" s="51"/>
      <c r="AC29" s="51"/>
      <c r="AD29" s="51"/>
    </row>
    <row r="30" spans="1:30" x14ac:dyDescent="0.3">
      <c r="A30" s="51">
        <f t="shared" si="0"/>
        <v>28</v>
      </c>
      <c r="B30" s="54">
        <f>YEAR(Mod_CL[[#This Row],[Date]])+IF(MONTH(Mod_CL[[#This Row],[Date]])&gt;=4,1,0)</f>
        <v>2026</v>
      </c>
      <c r="C30" s="54">
        <f>YEAR(Mod_CL[[#This Row],[Date]])</f>
        <v>2025</v>
      </c>
      <c r="D30" s="54" t="s">
        <v>1070</v>
      </c>
      <c r="E30" s="54" t="s">
        <v>1070</v>
      </c>
      <c r="F30" s="2" t="str">
        <f>TEXT(Mod_CL[[#This Row],[Date]],"mmm-yy")</f>
        <v>Apr-25</v>
      </c>
      <c r="G30" s="2">
        <f>DAY(EOMONTH(Mod_CL[[#This Row],[Month Year]],0))</f>
        <v>30</v>
      </c>
      <c r="H30" s="95">
        <f t="shared" si="1"/>
        <v>45772</v>
      </c>
      <c r="I30" s="51">
        <v>7</v>
      </c>
      <c r="J30" s="51">
        <v>2</v>
      </c>
      <c r="K30" s="51">
        <v>2160</v>
      </c>
      <c r="L30" s="51">
        <v>2160</v>
      </c>
      <c r="M30" s="51">
        <v>2160</v>
      </c>
      <c r="N30" s="51">
        <v>2160</v>
      </c>
      <c r="O30" s="51"/>
      <c r="P30" s="51"/>
      <c r="Q30" s="51"/>
      <c r="R30" s="51"/>
      <c r="S30" s="51"/>
      <c r="T30" s="51"/>
      <c r="U30" s="51"/>
      <c r="V30" s="51"/>
      <c r="W30" s="2">
        <f>SUM(Mod_CL[[#This Row],[Inv 1 (630kw) unit 1]:[Inv 3 (630kw) unit 4]])</f>
        <v>8640</v>
      </c>
      <c r="X30" s="51"/>
      <c r="Y30" s="51"/>
      <c r="Z30" s="51"/>
      <c r="AA30" s="51"/>
      <c r="AB30" s="51"/>
      <c r="AC30" s="51"/>
      <c r="AD30" s="51"/>
    </row>
    <row r="31" spans="1:30" x14ac:dyDescent="0.3">
      <c r="A31" s="51">
        <f t="shared" si="0"/>
        <v>29</v>
      </c>
      <c r="B31" s="54">
        <f>YEAR(Mod_CL[[#This Row],[Date]])+IF(MONTH(Mod_CL[[#This Row],[Date]])&gt;=4,1,0)</f>
        <v>2026</v>
      </c>
      <c r="C31" s="54">
        <f>YEAR(Mod_CL[[#This Row],[Date]])</f>
        <v>2025</v>
      </c>
      <c r="D31" s="54" t="s">
        <v>1070</v>
      </c>
      <c r="E31" s="54" t="s">
        <v>1070</v>
      </c>
      <c r="F31" s="2" t="str">
        <f>TEXT(Mod_CL[[#This Row],[Date]],"mmm-yy")</f>
        <v>Apr-25</v>
      </c>
      <c r="G31" s="2">
        <f>DAY(EOMONTH(Mod_CL[[#This Row],[Month Year]],0))</f>
        <v>30</v>
      </c>
      <c r="H31" s="95">
        <f t="shared" si="1"/>
        <v>45773</v>
      </c>
      <c r="I31" s="51">
        <v>7</v>
      </c>
      <c r="J31" s="51">
        <v>2</v>
      </c>
      <c r="K31" s="51"/>
      <c r="L31" s="51"/>
      <c r="M31" s="51"/>
      <c r="N31" s="51"/>
      <c r="O31" s="51">
        <v>2160</v>
      </c>
      <c r="P31" s="51">
        <v>2160</v>
      </c>
      <c r="Q31" s="51">
        <v>2160</v>
      </c>
      <c r="R31" s="51">
        <v>2160</v>
      </c>
      <c r="S31" s="51"/>
      <c r="T31" s="51"/>
      <c r="U31" s="51"/>
      <c r="V31" s="51"/>
      <c r="W31" s="2">
        <f>SUM(Mod_CL[[#This Row],[Inv 1 (630kw) unit 1]:[Inv 3 (630kw) unit 4]])</f>
        <v>8640</v>
      </c>
      <c r="X31" s="51"/>
      <c r="Y31" s="51"/>
      <c r="Z31" s="51"/>
      <c r="AA31" s="51"/>
      <c r="AB31" s="51"/>
      <c r="AC31" s="51"/>
      <c r="AD31" s="51"/>
    </row>
    <row r="32" spans="1:30" x14ac:dyDescent="0.3">
      <c r="A32" s="51">
        <f t="shared" si="0"/>
        <v>30</v>
      </c>
      <c r="B32" s="54">
        <f>YEAR(Mod_CL[[#This Row],[Date]])+IF(MONTH(Mod_CL[[#This Row],[Date]])&gt;=4,1,0)</f>
        <v>2026</v>
      </c>
      <c r="C32" s="54">
        <f>YEAR(Mod_CL[[#This Row],[Date]])</f>
        <v>2025</v>
      </c>
      <c r="D32" s="54" t="s">
        <v>1070</v>
      </c>
      <c r="E32" s="54" t="s">
        <v>1070</v>
      </c>
      <c r="F32" s="2" t="str">
        <f>TEXT(Mod_CL[[#This Row],[Date]],"mmm-yy")</f>
        <v>Apr-25</v>
      </c>
      <c r="G32" s="2">
        <f>DAY(EOMONTH(Mod_CL[[#This Row],[Month Year]],0))</f>
        <v>30</v>
      </c>
      <c r="H32" s="95">
        <f t="shared" si="1"/>
        <v>45774</v>
      </c>
      <c r="I32" s="51">
        <v>7</v>
      </c>
      <c r="J32" s="51">
        <v>2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2">
        <f>SUM(Mod_CL[[#This Row],[Inv 1 (630kw) unit 1]:[Inv 3 (630kw) unit 4]])</f>
        <v>0</v>
      </c>
      <c r="X32" s="51"/>
      <c r="Y32" s="51"/>
      <c r="Z32" s="51"/>
      <c r="AA32" s="51"/>
      <c r="AB32" s="51"/>
      <c r="AC32" s="51"/>
      <c r="AD32" s="51" t="s">
        <v>1040</v>
      </c>
    </row>
    <row r="33" spans="1:30" x14ac:dyDescent="0.3">
      <c r="A33" s="51">
        <f t="shared" si="0"/>
        <v>31</v>
      </c>
      <c r="B33" s="54">
        <f>YEAR(Mod_CL[[#This Row],[Date]])+IF(MONTH(Mod_CL[[#This Row],[Date]])&gt;=4,1,0)</f>
        <v>2026</v>
      </c>
      <c r="C33" s="54">
        <f>YEAR(Mod_CL[[#This Row],[Date]])</f>
        <v>2025</v>
      </c>
      <c r="D33" s="54" t="s">
        <v>1070</v>
      </c>
      <c r="E33" s="54" t="s">
        <v>1070</v>
      </c>
      <c r="F33" s="2" t="str">
        <f>TEXT(Mod_CL[[#This Row],[Date]],"mmm-yy")</f>
        <v>Apr-25</v>
      </c>
      <c r="G33" s="2">
        <f>DAY(EOMONTH(Mod_CL[[#This Row],[Month Year]],0))</f>
        <v>30</v>
      </c>
      <c r="H33" s="95">
        <f t="shared" si="1"/>
        <v>45775</v>
      </c>
      <c r="I33" s="51">
        <v>7</v>
      </c>
      <c r="J33" s="51">
        <v>2</v>
      </c>
      <c r="K33" s="51"/>
      <c r="L33" s="51"/>
      <c r="M33" s="51"/>
      <c r="N33" s="51"/>
      <c r="O33" s="51"/>
      <c r="P33" s="51"/>
      <c r="Q33" s="51"/>
      <c r="R33" s="51"/>
      <c r="S33" s="51">
        <v>2160</v>
      </c>
      <c r="T33" s="51">
        <v>2160</v>
      </c>
      <c r="U33" s="51">
        <v>2160</v>
      </c>
      <c r="V33" s="51">
        <v>2160</v>
      </c>
      <c r="W33" s="2">
        <f>SUM(Mod_CL[[#This Row],[Inv 1 (630kw) unit 1]:[Inv 3 (630kw) unit 4]])</f>
        <v>8640</v>
      </c>
      <c r="X33" s="51"/>
      <c r="Y33" s="51"/>
      <c r="Z33" s="51"/>
      <c r="AA33" s="51"/>
      <c r="AB33" s="51"/>
      <c r="AC33" s="51"/>
      <c r="AD33" s="51"/>
    </row>
    <row r="34" spans="1:30" x14ac:dyDescent="0.3">
      <c r="A34" s="51">
        <f t="shared" si="0"/>
        <v>32</v>
      </c>
      <c r="B34" s="54">
        <f>YEAR(Mod_CL[[#This Row],[Date]])+IF(MONTH(Mod_CL[[#This Row],[Date]])&gt;=4,1,0)</f>
        <v>2026</v>
      </c>
      <c r="C34" s="54">
        <f>YEAR(Mod_CL[[#This Row],[Date]])</f>
        <v>2025</v>
      </c>
      <c r="D34" s="54" t="s">
        <v>1070</v>
      </c>
      <c r="E34" s="54" t="s">
        <v>1070</v>
      </c>
      <c r="F34" s="2" t="str">
        <f>TEXT(Mod_CL[[#This Row],[Date]],"mmm-yy")</f>
        <v>Apr-25</v>
      </c>
      <c r="G34" s="2">
        <f>DAY(EOMONTH(Mod_CL[[#This Row],[Month Year]],0))</f>
        <v>30</v>
      </c>
      <c r="H34" s="95">
        <f t="shared" si="1"/>
        <v>45776</v>
      </c>
      <c r="I34" s="51">
        <v>8</v>
      </c>
      <c r="J34" s="51">
        <v>2</v>
      </c>
      <c r="K34" s="51">
        <v>2160</v>
      </c>
      <c r="L34" s="51">
        <v>2160</v>
      </c>
      <c r="M34" s="51">
        <v>2160</v>
      </c>
      <c r="N34" s="51">
        <v>2160</v>
      </c>
      <c r="O34" s="51"/>
      <c r="P34" s="51"/>
      <c r="Q34" s="51"/>
      <c r="R34" s="51"/>
      <c r="S34" s="51"/>
      <c r="T34" s="51"/>
      <c r="U34" s="51"/>
      <c r="V34" s="51"/>
      <c r="W34" s="2">
        <f>SUM(Mod_CL[[#This Row],[Inv 1 (630kw) unit 1]:[Inv 3 (630kw) unit 4]])</f>
        <v>8640</v>
      </c>
      <c r="X34" s="51"/>
      <c r="Y34" s="51"/>
      <c r="Z34" s="51"/>
      <c r="AA34" s="51"/>
      <c r="AB34" s="51"/>
      <c r="AC34" s="51"/>
      <c r="AD34" s="51"/>
    </row>
    <row r="35" spans="1:30" x14ac:dyDescent="0.3">
      <c r="A35" s="51">
        <f t="shared" si="0"/>
        <v>33</v>
      </c>
      <c r="B35" s="54">
        <f>YEAR(Mod_CL[[#This Row],[Date]])+IF(MONTH(Mod_CL[[#This Row],[Date]])&gt;=4,1,0)</f>
        <v>2026</v>
      </c>
      <c r="C35" s="54">
        <f>YEAR(Mod_CL[[#This Row],[Date]])</f>
        <v>2025</v>
      </c>
      <c r="D35" s="54" t="s">
        <v>1070</v>
      </c>
      <c r="E35" s="54" t="s">
        <v>1070</v>
      </c>
      <c r="F35" s="2" t="str">
        <f>TEXT(Mod_CL[[#This Row],[Date]],"mmm-yy")</f>
        <v>Apr-25</v>
      </c>
      <c r="G35" s="2">
        <f>DAY(EOMONTH(Mod_CL[[#This Row],[Month Year]],0))</f>
        <v>30</v>
      </c>
      <c r="H35" s="95">
        <f t="shared" si="1"/>
        <v>45777</v>
      </c>
      <c r="I35" s="51">
        <v>8</v>
      </c>
      <c r="J35" s="51">
        <v>2</v>
      </c>
      <c r="K35" s="51"/>
      <c r="L35" s="51"/>
      <c r="M35" s="51"/>
      <c r="N35" s="51"/>
      <c r="O35" s="51">
        <v>2160</v>
      </c>
      <c r="P35" s="51">
        <v>2160</v>
      </c>
      <c r="Q35" s="51">
        <v>2160</v>
      </c>
      <c r="R35" s="51">
        <v>2160</v>
      </c>
      <c r="S35" s="51"/>
      <c r="T35" s="51"/>
      <c r="U35" s="51"/>
      <c r="V35" s="51"/>
      <c r="W35" s="2">
        <f>SUM(Mod_CL[[#This Row],[Inv 1 (630kw) unit 1]:[Inv 3 (630kw) unit 4]])</f>
        <v>8640</v>
      </c>
      <c r="X35" s="51"/>
      <c r="Y35" s="51"/>
      <c r="Z35" s="51"/>
      <c r="AA35" s="51"/>
      <c r="AB35" s="51"/>
      <c r="AC35" s="51"/>
      <c r="AD35" s="51"/>
    </row>
    <row r="36" spans="1:30" x14ac:dyDescent="0.3">
      <c r="A36" s="51">
        <f t="shared" si="0"/>
        <v>34</v>
      </c>
      <c r="B36" s="54">
        <f>YEAR(Mod_CL[[#This Row],[Date]])+IF(MONTH(Mod_CL[[#This Row],[Date]])&gt;=4,1,0)</f>
        <v>2026</v>
      </c>
      <c r="C36" s="54">
        <f>YEAR(Mod_CL[[#This Row],[Date]])</f>
        <v>2025</v>
      </c>
      <c r="D36" s="54" t="s">
        <v>1070</v>
      </c>
      <c r="E36" s="54" t="s">
        <v>1070</v>
      </c>
      <c r="F36" s="2" t="str">
        <f>TEXT(Mod_CL[[#This Row],[Date]],"mmm-yy")</f>
        <v>May-25</v>
      </c>
      <c r="G36" s="2">
        <f>DAY(EOMONTH(Mod_CL[[#This Row],[Month Year]],0))</f>
        <v>31</v>
      </c>
      <c r="H36" s="95">
        <f t="shared" si="1"/>
        <v>45778</v>
      </c>
      <c r="I36" s="51">
        <v>1</v>
      </c>
      <c r="J36" s="51">
        <v>2</v>
      </c>
      <c r="K36" s="51">
        <v>2160</v>
      </c>
      <c r="L36" s="51">
        <v>2160</v>
      </c>
      <c r="M36" s="51">
        <v>2160</v>
      </c>
      <c r="N36" s="51">
        <v>2160</v>
      </c>
      <c r="O36" s="51"/>
      <c r="P36" s="51"/>
      <c r="Q36" s="51"/>
      <c r="R36" s="51"/>
      <c r="S36" s="51"/>
      <c r="T36" s="51"/>
      <c r="U36" s="51"/>
      <c r="V36" s="51"/>
      <c r="W36" s="2">
        <f>SUM(Mod_CL[[#This Row],[Inv 1 (630kw) unit 1]:[Inv 3 (630kw) unit 4]])</f>
        <v>8640</v>
      </c>
      <c r="X36" s="51"/>
      <c r="Y36" s="51"/>
      <c r="Z36" s="51"/>
      <c r="AA36" s="51"/>
      <c r="AB36" s="51"/>
      <c r="AC36" s="51"/>
      <c r="AD36" s="51"/>
    </row>
    <row r="37" spans="1:30" x14ac:dyDescent="0.3">
      <c r="A37" s="51">
        <f t="shared" si="0"/>
        <v>35</v>
      </c>
      <c r="B37" s="54">
        <f>YEAR(Mod_CL[[#This Row],[Date]])+IF(MONTH(Mod_CL[[#This Row],[Date]])&gt;=4,1,0)</f>
        <v>2026</v>
      </c>
      <c r="C37" s="54">
        <f>YEAR(Mod_CL[[#This Row],[Date]])</f>
        <v>2025</v>
      </c>
      <c r="D37" s="54" t="s">
        <v>1070</v>
      </c>
      <c r="E37" s="54" t="s">
        <v>1070</v>
      </c>
      <c r="F37" s="2" t="str">
        <f>TEXT(Mod_CL[[#This Row],[Date]],"mmm-yy")</f>
        <v>May-25</v>
      </c>
      <c r="G37" s="2">
        <f>DAY(EOMONTH(Mod_CL[[#This Row],[Month Year]],0))</f>
        <v>31</v>
      </c>
      <c r="H37" s="95">
        <f t="shared" si="1"/>
        <v>45779</v>
      </c>
      <c r="I37" s="51">
        <v>1</v>
      </c>
      <c r="J37" s="51">
        <v>2</v>
      </c>
      <c r="K37" s="51"/>
      <c r="L37" s="51"/>
      <c r="M37" s="51"/>
      <c r="N37" s="51"/>
      <c r="O37" s="51">
        <v>2160</v>
      </c>
      <c r="P37" s="51">
        <v>2160</v>
      </c>
      <c r="Q37" s="51">
        <v>2160</v>
      </c>
      <c r="R37" s="51">
        <v>2160</v>
      </c>
      <c r="S37" s="51"/>
      <c r="T37" s="51"/>
      <c r="U37" s="51"/>
      <c r="V37" s="51"/>
      <c r="W37" s="2">
        <f>SUM(Mod_CL[[#This Row],[Inv 1 (630kw) unit 1]:[Inv 3 (630kw) unit 4]])</f>
        <v>8640</v>
      </c>
      <c r="X37" s="51"/>
      <c r="Y37" s="51"/>
      <c r="Z37" s="51"/>
      <c r="AA37" s="51"/>
      <c r="AB37" s="51"/>
      <c r="AC37" s="51"/>
      <c r="AD37" s="51"/>
    </row>
    <row r="38" spans="1:30" x14ac:dyDescent="0.3">
      <c r="A38" s="51">
        <f t="shared" si="0"/>
        <v>36</v>
      </c>
      <c r="B38" s="54">
        <f>YEAR(Mod_CL[[#This Row],[Date]])+IF(MONTH(Mod_CL[[#This Row],[Date]])&gt;=4,1,0)</f>
        <v>2026</v>
      </c>
      <c r="C38" s="54">
        <f>YEAR(Mod_CL[[#This Row],[Date]])</f>
        <v>2025</v>
      </c>
      <c r="D38" s="54" t="s">
        <v>1070</v>
      </c>
      <c r="E38" s="54" t="s">
        <v>1070</v>
      </c>
      <c r="F38" s="2" t="str">
        <f>TEXT(Mod_CL[[#This Row],[Date]],"mmm-yy")</f>
        <v>May-25</v>
      </c>
      <c r="G38" s="2">
        <f>DAY(EOMONTH(Mod_CL[[#This Row],[Month Year]],0))</f>
        <v>31</v>
      </c>
      <c r="H38" s="95">
        <f t="shared" si="1"/>
        <v>45780</v>
      </c>
      <c r="I38" s="51">
        <v>1</v>
      </c>
      <c r="J38" s="51">
        <v>2</v>
      </c>
      <c r="K38" s="51"/>
      <c r="L38" s="51"/>
      <c r="M38" s="51"/>
      <c r="N38" s="51"/>
      <c r="O38" s="51"/>
      <c r="P38" s="51"/>
      <c r="Q38" s="51"/>
      <c r="R38" s="51"/>
      <c r="S38" s="51">
        <v>2160</v>
      </c>
      <c r="T38" s="51">
        <v>2160</v>
      </c>
      <c r="U38" s="51">
        <v>2160</v>
      </c>
      <c r="V38" s="51">
        <v>2160</v>
      </c>
      <c r="W38" s="2">
        <f>SUM(Mod_CL[[#This Row],[Inv 1 (630kw) unit 1]:[Inv 3 (630kw) unit 4]])</f>
        <v>8640</v>
      </c>
      <c r="X38" s="51"/>
      <c r="Y38" s="51"/>
      <c r="Z38" s="51"/>
      <c r="AA38" s="51"/>
      <c r="AB38" s="51"/>
      <c r="AC38" s="51"/>
      <c r="AD38" s="51"/>
    </row>
    <row r="39" spans="1:30" x14ac:dyDescent="0.3">
      <c r="A39" s="51">
        <f t="shared" si="0"/>
        <v>37</v>
      </c>
      <c r="B39" s="54">
        <f>YEAR(Mod_CL[[#This Row],[Date]])+IF(MONTH(Mod_CL[[#This Row],[Date]])&gt;=4,1,0)</f>
        <v>2026</v>
      </c>
      <c r="C39" s="54">
        <f>YEAR(Mod_CL[[#This Row],[Date]])</f>
        <v>2025</v>
      </c>
      <c r="D39" s="54" t="s">
        <v>1070</v>
      </c>
      <c r="E39" s="54" t="s">
        <v>1070</v>
      </c>
      <c r="F39" s="2" t="str">
        <f>TEXT(Mod_CL[[#This Row],[Date]],"mmm-yy")</f>
        <v>May-25</v>
      </c>
      <c r="G39" s="2">
        <f>DAY(EOMONTH(Mod_CL[[#This Row],[Month Year]],0))</f>
        <v>31</v>
      </c>
      <c r="H39" s="95">
        <f t="shared" si="1"/>
        <v>45781</v>
      </c>
      <c r="I39" s="51">
        <v>2</v>
      </c>
      <c r="J39" s="51">
        <v>2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2">
        <f>SUM(Mod_CL[[#This Row],[Inv 1 (630kw) unit 1]:[Inv 3 (630kw) unit 4]])</f>
        <v>0</v>
      </c>
      <c r="X39" s="51"/>
      <c r="Y39" s="51"/>
      <c r="Z39" s="51"/>
      <c r="AA39" s="51"/>
      <c r="AB39" s="51"/>
      <c r="AC39" s="51"/>
      <c r="AD39" s="51" t="s">
        <v>1040</v>
      </c>
    </row>
    <row r="40" spans="1:30" x14ac:dyDescent="0.3">
      <c r="A40" s="51">
        <f t="shared" si="0"/>
        <v>38</v>
      </c>
      <c r="B40" s="54">
        <f>YEAR(Mod_CL[[#This Row],[Date]])+IF(MONTH(Mod_CL[[#This Row],[Date]])&gt;=4,1,0)</f>
        <v>2026</v>
      </c>
      <c r="C40" s="54">
        <f>YEAR(Mod_CL[[#This Row],[Date]])</f>
        <v>2025</v>
      </c>
      <c r="D40" s="54" t="s">
        <v>1070</v>
      </c>
      <c r="E40" s="54" t="s">
        <v>1070</v>
      </c>
      <c r="F40" s="2" t="str">
        <f>TEXT(Mod_CL[[#This Row],[Date]],"mmm-yy")</f>
        <v>May-25</v>
      </c>
      <c r="G40" s="2">
        <f>DAY(EOMONTH(Mod_CL[[#This Row],[Month Year]],0))</f>
        <v>31</v>
      </c>
      <c r="H40" s="95">
        <f t="shared" si="1"/>
        <v>45782</v>
      </c>
      <c r="I40" s="51">
        <v>2</v>
      </c>
      <c r="J40" s="51">
        <v>2</v>
      </c>
      <c r="K40" s="51">
        <v>2160</v>
      </c>
      <c r="L40" s="51">
        <v>2160</v>
      </c>
      <c r="M40" s="51">
        <v>2160</v>
      </c>
      <c r="N40" s="51">
        <v>2160</v>
      </c>
      <c r="O40" s="51"/>
      <c r="P40" s="51"/>
      <c r="Q40" s="51"/>
      <c r="R40" s="51"/>
      <c r="S40" s="51"/>
      <c r="T40" s="51"/>
      <c r="U40" s="51"/>
      <c r="V40" s="51"/>
      <c r="W40" s="2">
        <f>SUM(Mod_CL[[#This Row],[Inv 1 (630kw) unit 1]:[Inv 3 (630kw) unit 4]])</f>
        <v>8640</v>
      </c>
      <c r="X40" s="51"/>
      <c r="Y40" s="51"/>
      <c r="Z40" s="51"/>
      <c r="AA40" s="51"/>
      <c r="AB40" s="51"/>
      <c r="AC40" s="51"/>
      <c r="AD40" s="51"/>
    </row>
    <row r="41" spans="1:30" x14ac:dyDescent="0.3">
      <c r="A41" s="51">
        <f t="shared" si="0"/>
        <v>39</v>
      </c>
      <c r="B41" s="54">
        <f>YEAR(Mod_CL[[#This Row],[Date]])+IF(MONTH(Mod_CL[[#This Row],[Date]])&gt;=4,1,0)</f>
        <v>2026</v>
      </c>
      <c r="C41" s="54">
        <f>YEAR(Mod_CL[[#This Row],[Date]])</f>
        <v>2025</v>
      </c>
      <c r="D41" s="54" t="s">
        <v>1070</v>
      </c>
      <c r="E41" s="54" t="s">
        <v>1070</v>
      </c>
      <c r="F41" s="2" t="str">
        <f>TEXT(Mod_CL[[#This Row],[Date]],"mmm-yy")</f>
        <v>May-25</v>
      </c>
      <c r="G41" s="2">
        <f>DAY(EOMONTH(Mod_CL[[#This Row],[Month Year]],0))</f>
        <v>31</v>
      </c>
      <c r="H41" s="95">
        <f t="shared" si="1"/>
        <v>45783</v>
      </c>
      <c r="I41" s="51">
        <v>2</v>
      </c>
      <c r="J41" s="51">
        <v>2</v>
      </c>
      <c r="K41" s="51"/>
      <c r="L41" s="51"/>
      <c r="M41" s="51"/>
      <c r="N41" s="51"/>
      <c r="O41" s="51">
        <v>2160</v>
      </c>
      <c r="P41" s="51">
        <v>2160</v>
      </c>
      <c r="Q41" s="51">
        <v>2160</v>
      </c>
      <c r="R41" s="51">
        <v>2160</v>
      </c>
      <c r="S41" s="51"/>
      <c r="T41" s="51"/>
      <c r="U41" s="51"/>
      <c r="V41" s="51"/>
      <c r="W41" s="2">
        <f>SUM(Mod_CL[[#This Row],[Inv 1 (630kw) unit 1]:[Inv 3 (630kw) unit 4]])</f>
        <v>8640</v>
      </c>
      <c r="X41" s="51"/>
      <c r="Y41" s="51"/>
      <c r="Z41" s="51"/>
      <c r="AA41" s="51"/>
      <c r="AB41" s="51"/>
      <c r="AC41" s="51"/>
      <c r="AD41" s="51"/>
    </row>
    <row r="42" spans="1:30" x14ac:dyDescent="0.3">
      <c r="A42" s="51">
        <v>40</v>
      </c>
      <c r="B42" s="51">
        <f>YEAR(Mod_CL[[#This Row],[Date]])+IF(MONTH(Mod_CL[[#This Row],[Date]])&gt;=4,1,0)</f>
        <v>2026</v>
      </c>
      <c r="C42" s="51">
        <f>YEAR(Mod_CL[[#This Row],[Date]])</f>
        <v>2025</v>
      </c>
      <c r="D42" s="54" t="s">
        <v>1070</v>
      </c>
      <c r="E42" s="54" t="s">
        <v>1070</v>
      </c>
      <c r="F42" s="2" t="str">
        <f>TEXT(Mod_CL[[#This Row],[Date]],"mmm-yy")</f>
        <v>May-25</v>
      </c>
      <c r="G42" s="2">
        <f>DAY(EOMONTH(Mod_CL[[#This Row],[Month Year]],0))</f>
        <v>31</v>
      </c>
      <c r="H42" s="95">
        <f t="shared" si="1"/>
        <v>45784</v>
      </c>
      <c r="I42" s="51">
        <v>2</v>
      </c>
      <c r="J42" s="51">
        <v>2</v>
      </c>
      <c r="K42" s="51"/>
      <c r="L42" s="51"/>
      <c r="M42" s="51"/>
      <c r="N42" s="51"/>
      <c r="O42" s="51"/>
      <c r="P42" s="51"/>
      <c r="Q42" s="51"/>
      <c r="R42" s="51"/>
      <c r="S42" s="51">
        <v>2160</v>
      </c>
      <c r="T42" s="51">
        <v>2160</v>
      </c>
      <c r="U42" s="51">
        <v>2160</v>
      </c>
      <c r="V42" s="51">
        <v>2160</v>
      </c>
      <c r="W42" s="2">
        <f>SUM(Mod_CL[[#This Row],[Inv 1 (630kw) unit 1]:[Inv 3 (630kw) unit 4]])</f>
        <v>8640</v>
      </c>
      <c r="X42" s="51"/>
      <c r="Y42" s="51"/>
      <c r="Z42" s="51"/>
      <c r="AA42" s="51"/>
      <c r="AB42" s="51"/>
      <c r="AC42" s="51"/>
      <c r="AD42" s="51"/>
    </row>
    <row r="43" spans="1:30" x14ac:dyDescent="0.3">
      <c r="A43" s="51">
        <v>41</v>
      </c>
      <c r="B43" s="51">
        <f>YEAR(Mod_CL[[#This Row],[Date]])+IF(MONTH(Mod_CL[[#This Row],[Date]])&gt;=4,1,0)</f>
        <v>2026</v>
      </c>
      <c r="C43" s="51">
        <f>YEAR(Mod_CL[[#This Row],[Date]])</f>
        <v>2025</v>
      </c>
      <c r="D43" s="54" t="s">
        <v>1070</v>
      </c>
      <c r="E43" s="54" t="s">
        <v>1070</v>
      </c>
      <c r="F43" s="2" t="str">
        <f>TEXT(Mod_CL[[#This Row],[Date]],"mmm-yy")</f>
        <v>May-25</v>
      </c>
      <c r="G43" s="2">
        <f>DAY(EOMONTH(Mod_CL[[#This Row],[Month Year]],0))</f>
        <v>31</v>
      </c>
      <c r="H43" s="95">
        <f t="shared" si="1"/>
        <v>45785</v>
      </c>
      <c r="I43" s="51">
        <v>3</v>
      </c>
      <c r="J43" s="51">
        <v>2</v>
      </c>
      <c r="K43" s="51">
        <v>2160</v>
      </c>
      <c r="L43" s="51">
        <v>2160</v>
      </c>
      <c r="M43" s="51">
        <v>2160</v>
      </c>
      <c r="N43" s="51">
        <v>2160</v>
      </c>
      <c r="O43" s="51"/>
      <c r="P43" s="51"/>
      <c r="Q43" s="51"/>
      <c r="R43" s="51"/>
      <c r="S43" s="51"/>
      <c r="T43" s="51"/>
      <c r="U43" s="51"/>
      <c r="V43" s="51"/>
      <c r="W43" s="2">
        <f>SUM(Mod_CL[[#This Row],[Inv 1 (630kw) unit 1]:[Inv 3 (630kw) unit 4]])</f>
        <v>8640</v>
      </c>
      <c r="X43" s="51"/>
      <c r="Y43" s="51"/>
      <c r="Z43" s="51"/>
      <c r="AA43" s="51"/>
      <c r="AB43" s="51"/>
      <c r="AC43" s="51"/>
      <c r="AD43" s="51"/>
    </row>
    <row r="44" spans="1:30" x14ac:dyDescent="0.3">
      <c r="A44" s="51">
        <v>42</v>
      </c>
      <c r="B44" s="51">
        <f>YEAR(Mod_CL[[#This Row],[Date]])+IF(MONTH(Mod_CL[[#This Row],[Date]])&gt;=4,1,0)</f>
        <v>2026</v>
      </c>
      <c r="C44" s="51">
        <f>YEAR(Mod_CL[[#This Row],[Date]])</f>
        <v>2025</v>
      </c>
      <c r="D44" s="54" t="s">
        <v>1070</v>
      </c>
      <c r="E44" s="54" t="s">
        <v>1070</v>
      </c>
      <c r="F44" s="2" t="str">
        <f>TEXT(Mod_CL[[#This Row],[Date]],"mmm-yy")</f>
        <v>May-25</v>
      </c>
      <c r="G44" s="2">
        <f>DAY(EOMONTH(Mod_CL[[#This Row],[Month Year]],0))</f>
        <v>31</v>
      </c>
      <c r="H44" s="95">
        <f t="shared" si="1"/>
        <v>45786</v>
      </c>
      <c r="I44" s="51">
        <v>3</v>
      </c>
      <c r="J44" s="51">
        <v>2</v>
      </c>
      <c r="K44" s="51"/>
      <c r="L44" s="51"/>
      <c r="M44" s="51"/>
      <c r="N44" s="51"/>
      <c r="O44" s="51">
        <v>2160</v>
      </c>
      <c r="P44" s="51">
        <v>2160</v>
      </c>
      <c r="Q44" s="51">
        <v>2160</v>
      </c>
      <c r="R44" s="51">
        <v>2160</v>
      </c>
      <c r="S44" s="51"/>
      <c r="T44" s="51"/>
      <c r="U44" s="51"/>
      <c r="V44" s="51"/>
      <c r="W44" s="2">
        <f>SUM(Mod_CL[[#This Row],[Inv 1 (630kw) unit 1]:[Inv 3 (630kw) unit 4]])</f>
        <v>8640</v>
      </c>
      <c r="X44" s="51"/>
      <c r="Y44" s="51"/>
      <c r="Z44" s="51"/>
      <c r="AA44" s="51"/>
      <c r="AB44" s="51"/>
      <c r="AC44" s="51"/>
      <c r="AD44" s="51"/>
    </row>
    <row r="45" spans="1:30" x14ac:dyDescent="0.3">
      <c r="A45" s="51">
        <v>43</v>
      </c>
      <c r="B45" s="51">
        <f>YEAR(Mod_CL[[#This Row],[Date]])+IF(MONTH(Mod_CL[[#This Row],[Date]])&gt;=4,1,0)</f>
        <v>2026</v>
      </c>
      <c r="C45" s="51">
        <f>YEAR(Mod_CL[[#This Row],[Date]])</f>
        <v>2025</v>
      </c>
      <c r="D45" s="54" t="s">
        <v>1070</v>
      </c>
      <c r="E45" s="54" t="s">
        <v>1070</v>
      </c>
      <c r="F45" s="2" t="str">
        <f>TEXT(Mod_CL[[#This Row],[Date]],"mmm-yy")</f>
        <v>May-25</v>
      </c>
      <c r="G45" s="2">
        <f>DAY(EOMONTH(Mod_CL[[#This Row],[Month Year]],0))</f>
        <v>31</v>
      </c>
      <c r="H45" s="95">
        <f t="shared" si="1"/>
        <v>45787</v>
      </c>
      <c r="I45" s="51">
        <v>3</v>
      </c>
      <c r="J45" s="51">
        <v>2</v>
      </c>
      <c r="K45" s="51"/>
      <c r="L45" s="51"/>
      <c r="M45" s="51"/>
      <c r="N45" s="51"/>
      <c r="O45" s="51"/>
      <c r="P45" s="51"/>
      <c r="Q45" s="51"/>
      <c r="R45" s="51"/>
      <c r="S45" s="51">
        <v>2160</v>
      </c>
      <c r="T45" s="51">
        <v>2160</v>
      </c>
      <c r="U45" s="51">
        <v>2160</v>
      </c>
      <c r="V45" s="51">
        <v>2160</v>
      </c>
      <c r="W45" s="2">
        <f>SUM(Mod_CL[[#This Row],[Inv 1 (630kw) unit 1]:[Inv 3 (630kw) unit 4]])</f>
        <v>8640</v>
      </c>
      <c r="X45" s="51"/>
      <c r="Y45" s="51"/>
      <c r="Z45" s="51"/>
      <c r="AA45" s="51"/>
      <c r="AB45" s="51"/>
      <c r="AC45" s="51"/>
      <c r="AD45" s="51"/>
    </row>
    <row r="46" spans="1:30" x14ac:dyDescent="0.3">
      <c r="A46" s="51">
        <v>44</v>
      </c>
      <c r="B46" s="51">
        <f>YEAR(Mod_CL[[#This Row],[Date]])+IF(MONTH(Mod_CL[[#This Row],[Date]])&gt;=4,1,0)</f>
        <v>2026</v>
      </c>
      <c r="C46" s="51">
        <f>YEAR(Mod_CL[[#This Row],[Date]])</f>
        <v>2025</v>
      </c>
      <c r="D46" s="54" t="s">
        <v>1070</v>
      </c>
      <c r="E46" s="54" t="s">
        <v>1070</v>
      </c>
      <c r="F46" s="2" t="str">
        <f>TEXT(Mod_CL[[#This Row],[Date]],"mmm-yy")</f>
        <v>May-25</v>
      </c>
      <c r="G46" s="2">
        <f>DAY(EOMONTH(Mod_CL[[#This Row],[Month Year]],0))</f>
        <v>31</v>
      </c>
      <c r="H46" s="95">
        <f t="shared" si="1"/>
        <v>45788</v>
      </c>
      <c r="I46" s="51">
        <v>4</v>
      </c>
      <c r="J46" s="51">
        <v>2</v>
      </c>
      <c r="K46" s="51">
        <v>2160</v>
      </c>
      <c r="L46" s="51">
        <v>2160</v>
      </c>
      <c r="M46" s="51">
        <v>2160</v>
      </c>
      <c r="N46" s="51">
        <v>2160</v>
      </c>
      <c r="O46" s="51"/>
      <c r="P46" s="51"/>
      <c r="Q46" s="51"/>
      <c r="R46" s="51"/>
      <c r="S46" s="51"/>
      <c r="T46" s="51"/>
      <c r="U46" s="51"/>
      <c r="V46" s="51"/>
      <c r="W46" s="2">
        <f>SUM(Mod_CL[[#This Row],[Inv 1 (630kw) unit 1]:[Inv 3 (630kw) unit 4]])</f>
        <v>8640</v>
      </c>
      <c r="X46" s="51"/>
      <c r="Y46" s="51"/>
      <c r="Z46" s="51"/>
      <c r="AA46" s="51"/>
      <c r="AB46" s="51"/>
      <c r="AC46" s="51"/>
      <c r="AD46" s="51"/>
    </row>
    <row r="47" spans="1:30" x14ac:dyDescent="0.3">
      <c r="A47" s="51">
        <v>45</v>
      </c>
      <c r="B47" s="51">
        <f>YEAR(Mod_CL[[#This Row],[Date]])+IF(MONTH(Mod_CL[[#This Row],[Date]])&gt;=4,1,0)</f>
        <v>2026</v>
      </c>
      <c r="C47" s="51">
        <f>YEAR(Mod_CL[[#This Row],[Date]])</f>
        <v>2025</v>
      </c>
      <c r="D47" s="54" t="s">
        <v>1070</v>
      </c>
      <c r="E47" s="54" t="s">
        <v>1070</v>
      </c>
      <c r="F47" s="2" t="str">
        <f>TEXT(Mod_CL[[#This Row],[Date]],"mmm-yy")</f>
        <v>May-25</v>
      </c>
      <c r="G47" s="2">
        <f>DAY(EOMONTH(Mod_CL[[#This Row],[Month Year]],0))</f>
        <v>31</v>
      </c>
      <c r="H47" s="95">
        <f t="shared" si="1"/>
        <v>45789</v>
      </c>
      <c r="I47" s="51">
        <v>4</v>
      </c>
      <c r="J47" s="51">
        <v>2</v>
      </c>
      <c r="K47" s="51"/>
      <c r="L47" s="51"/>
      <c r="M47" s="51"/>
      <c r="N47" s="51"/>
      <c r="O47" s="51">
        <v>2160</v>
      </c>
      <c r="P47" s="51">
        <v>2160</v>
      </c>
      <c r="Q47" s="51">
        <v>2160</v>
      </c>
      <c r="R47" s="51">
        <v>2160</v>
      </c>
      <c r="S47" s="51"/>
      <c r="T47" s="51"/>
      <c r="U47" s="51"/>
      <c r="V47" s="51"/>
      <c r="W47" s="2">
        <f>SUM(Mod_CL[[#This Row],[Inv 1 (630kw) unit 1]:[Inv 3 (630kw) unit 4]])</f>
        <v>8640</v>
      </c>
      <c r="X47" s="51"/>
      <c r="Y47" s="51"/>
      <c r="Z47" s="51"/>
      <c r="AA47" s="51"/>
      <c r="AB47" s="51"/>
      <c r="AC47" s="51"/>
      <c r="AD47" s="51"/>
    </row>
    <row r="48" spans="1:30" x14ac:dyDescent="0.3">
      <c r="A48" s="51">
        <v>46</v>
      </c>
      <c r="B48" s="51">
        <f>YEAR(Mod_CL[[#This Row],[Date]])+IF(MONTH(Mod_CL[[#This Row],[Date]])&gt;=4,1,0)</f>
        <v>2026</v>
      </c>
      <c r="C48" s="51">
        <f>YEAR(Mod_CL[[#This Row],[Date]])</f>
        <v>2025</v>
      </c>
      <c r="D48" s="54" t="s">
        <v>1070</v>
      </c>
      <c r="E48" s="54" t="s">
        <v>1070</v>
      </c>
      <c r="F48" s="2" t="str">
        <f>TEXT(Mod_CL[[#This Row],[Date]],"mmm-yy")</f>
        <v>May-25</v>
      </c>
      <c r="G48" s="2">
        <f>DAY(EOMONTH(Mod_CL[[#This Row],[Month Year]],0))</f>
        <v>31</v>
      </c>
      <c r="H48" s="95">
        <f t="shared" si="1"/>
        <v>45790</v>
      </c>
      <c r="I48" s="51">
        <v>4</v>
      </c>
      <c r="J48" s="51">
        <v>2</v>
      </c>
      <c r="K48" s="51"/>
      <c r="L48" s="51"/>
      <c r="M48" s="51"/>
      <c r="N48" s="51"/>
      <c r="O48" s="51"/>
      <c r="P48" s="51"/>
      <c r="Q48" s="51"/>
      <c r="R48" s="51"/>
      <c r="S48" s="51">
        <v>2160</v>
      </c>
      <c r="T48" s="51">
        <v>2160</v>
      </c>
      <c r="U48" s="51">
        <v>2160</v>
      </c>
      <c r="V48" s="51">
        <v>2160</v>
      </c>
      <c r="W48" s="2">
        <f>SUM(Mod_CL[[#This Row],[Inv 1 (630kw) unit 1]:[Inv 3 (630kw) unit 4]])</f>
        <v>8640</v>
      </c>
      <c r="X48" s="51"/>
      <c r="Y48" s="51"/>
      <c r="Z48" s="51"/>
      <c r="AA48" s="51"/>
      <c r="AB48" s="51"/>
      <c r="AC48" s="51"/>
      <c r="AD48" s="51"/>
    </row>
    <row r="49" spans="1:30" x14ac:dyDescent="0.3">
      <c r="A49" s="51">
        <v>47</v>
      </c>
      <c r="B49" s="51">
        <f>YEAR(Mod_CL[[#This Row],[Date]])+IF(MONTH(Mod_CL[[#This Row],[Date]])&gt;=4,1,0)</f>
        <v>2026</v>
      </c>
      <c r="C49" s="51">
        <f>YEAR(Mod_CL[[#This Row],[Date]])</f>
        <v>2025</v>
      </c>
      <c r="D49" s="54" t="s">
        <v>1070</v>
      </c>
      <c r="E49" s="54" t="s">
        <v>1070</v>
      </c>
      <c r="F49" s="2" t="str">
        <f>TEXT(Mod_CL[[#This Row],[Date]],"mmm-yy")</f>
        <v>May-25</v>
      </c>
      <c r="G49" s="2">
        <f>DAY(EOMONTH(Mod_CL[[#This Row],[Month Year]],0))</f>
        <v>31</v>
      </c>
      <c r="H49" s="95">
        <f t="shared" si="1"/>
        <v>45791</v>
      </c>
      <c r="I49" s="51">
        <v>5</v>
      </c>
      <c r="J49" s="51">
        <v>2</v>
      </c>
      <c r="K49" s="51">
        <v>2160</v>
      </c>
      <c r="L49" s="51">
        <v>2160</v>
      </c>
      <c r="M49" s="51">
        <v>2160</v>
      </c>
      <c r="N49" s="51">
        <v>2160</v>
      </c>
      <c r="O49" s="51"/>
      <c r="P49" s="51"/>
      <c r="Q49" s="51"/>
      <c r="R49" s="51"/>
      <c r="S49" s="51"/>
      <c r="T49" s="51"/>
      <c r="U49" s="51"/>
      <c r="V49" s="51"/>
      <c r="W49" s="2">
        <f>SUM(Mod_CL[[#This Row],[Inv 1 (630kw) unit 1]:[Inv 3 (630kw) unit 4]])</f>
        <v>8640</v>
      </c>
      <c r="X49" s="51"/>
      <c r="Y49" s="51"/>
      <c r="Z49" s="51"/>
      <c r="AA49" s="51"/>
      <c r="AB49" s="51"/>
      <c r="AC49" s="51"/>
      <c r="AD49" s="51"/>
    </row>
    <row r="50" spans="1:30" x14ac:dyDescent="0.3">
      <c r="A50" s="51">
        <v>48</v>
      </c>
      <c r="B50" s="51">
        <f>YEAR(Mod_CL[[#This Row],[Date]])+IF(MONTH(Mod_CL[[#This Row],[Date]])&gt;=4,1,0)</f>
        <v>2026</v>
      </c>
      <c r="C50" s="51">
        <f>YEAR(Mod_CL[[#This Row],[Date]])</f>
        <v>2025</v>
      </c>
      <c r="D50" s="54" t="s">
        <v>1070</v>
      </c>
      <c r="E50" s="54" t="s">
        <v>1070</v>
      </c>
      <c r="F50" s="2" t="str">
        <f>TEXT(Mod_CL[[#This Row],[Date]],"mmm-yy")</f>
        <v>May-25</v>
      </c>
      <c r="G50" s="2">
        <f>DAY(EOMONTH(Mod_CL[[#This Row],[Month Year]],0))</f>
        <v>31</v>
      </c>
      <c r="H50" s="95">
        <f t="shared" si="1"/>
        <v>45792</v>
      </c>
      <c r="I50" s="51">
        <v>5</v>
      </c>
      <c r="J50" s="51">
        <v>2</v>
      </c>
      <c r="K50" s="51"/>
      <c r="L50" s="51"/>
      <c r="M50" s="51"/>
      <c r="N50" s="51"/>
      <c r="O50" s="51">
        <v>2160</v>
      </c>
      <c r="P50" s="51">
        <v>2160</v>
      </c>
      <c r="Q50" s="51">
        <v>2160</v>
      </c>
      <c r="R50" s="51">
        <v>2160</v>
      </c>
      <c r="S50" s="51"/>
      <c r="T50" s="51"/>
      <c r="U50" s="51"/>
      <c r="V50" s="51"/>
      <c r="W50" s="2">
        <f>SUM(Mod_CL[[#This Row],[Inv 1 (630kw) unit 1]:[Inv 3 (630kw) unit 4]])</f>
        <v>8640</v>
      </c>
      <c r="X50" s="51"/>
      <c r="Y50" s="51"/>
      <c r="Z50" s="51"/>
      <c r="AA50" s="51"/>
      <c r="AB50" s="51"/>
      <c r="AC50" s="51"/>
      <c r="AD50" s="51"/>
    </row>
    <row r="51" spans="1:30" x14ac:dyDescent="0.3">
      <c r="A51" s="51">
        <v>49</v>
      </c>
      <c r="B51" s="51">
        <f>YEAR(Mod_CL[[#This Row],[Date]])+IF(MONTH(Mod_CL[[#This Row],[Date]])&gt;=4,1,0)</f>
        <v>2026</v>
      </c>
      <c r="C51" s="51">
        <f>YEAR(Mod_CL[[#This Row],[Date]])</f>
        <v>2025</v>
      </c>
      <c r="D51" s="54" t="s">
        <v>1070</v>
      </c>
      <c r="E51" s="54" t="s">
        <v>1070</v>
      </c>
      <c r="F51" s="2" t="str">
        <f>TEXT(Mod_CL[[#This Row],[Date]],"mmm-yy")</f>
        <v>May-25</v>
      </c>
      <c r="G51" s="2">
        <f>DAY(EOMONTH(Mod_CL[[#This Row],[Month Year]],0))</f>
        <v>31</v>
      </c>
      <c r="H51" s="95">
        <f t="shared" si="1"/>
        <v>45793</v>
      </c>
      <c r="I51" s="51">
        <v>5</v>
      </c>
      <c r="J51" s="51">
        <v>2</v>
      </c>
      <c r="K51" s="51"/>
      <c r="L51" s="51"/>
      <c r="M51" s="51"/>
      <c r="N51" s="51"/>
      <c r="O51" s="51"/>
      <c r="P51" s="51"/>
      <c r="Q51" s="51"/>
      <c r="R51" s="51"/>
      <c r="S51" s="51">
        <v>2160</v>
      </c>
      <c r="T51" s="51">
        <v>2160</v>
      </c>
      <c r="U51" s="51">
        <v>2160</v>
      </c>
      <c r="V51" s="51">
        <v>2160</v>
      </c>
      <c r="W51" s="2">
        <f>SUM(Mod_CL[[#This Row],[Inv 1 (630kw) unit 1]:[Inv 3 (630kw) unit 4]])</f>
        <v>8640</v>
      </c>
      <c r="X51" s="51"/>
      <c r="Y51" s="51"/>
      <c r="Z51" s="51"/>
      <c r="AA51" s="51"/>
      <c r="AB51" s="51"/>
      <c r="AC51" s="51"/>
      <c r="AD51" s="51"/>
    </row>
    <row r="52" spans="1:30" x14ac:dyDescent="0.3">
      <c r="A52" s="51">
        <v>50</v>
      </c>
      <c r="B52" s="51">
        <f>YEAR(Mod_CL[[#This Row],[Date]])+IF(MONTH(Mod_CL[[#This Row],[Date]])&gt;=4,1,0)</f>
        <v>2026</v>
      </c>
      <c r="C52" s="51">
        <f>YEAR(Mod_CL[[#This Row],[Date]])</f>
        <v>2025</v>
      </c>
      <c r="D52" s="54" t="s">
        <v>1070</v>
      </c>
      <c r="E52" s="54" t="s">
        <v>1070</v>
      </c>
      <c r="F52" s="2" t="str">
        <f>TEXT(Mod_CL[[#This Row],[Date]],"mmm-yy")</f>
        <v>May-25</v>
      </c>
      <c r="G52" s="2">
        <f>DAY(EOMONTH(Mod_CL[[#This Row],[Month Year]],0))</f>
        <v>31</v>
      </c>
      <c r="H52" s="95">
        <f t="shared" si="1"/>
        <v>45794</v>
      </c>
      <c r="I52" s="51">
        <v>6</v>
      </c>
      <c r="J52" s="51">
        <v>2</v>
      </c>
      <c r="K52" s="51">
        <v>2160</v>
      </c>
      <c r="L52" s="51">
        <v>2160</v>
      </c>
      <c r="M52" s="51">
        <v>2160</v>
      </c>
      <c r="N52" s="51">
        <v>2160</v>
      </c>
      <c r="O52" s="51"/>
      <c r="P52" s="51"/>
      <c r="Q52" s="51"/>
      <c r="R52" s="51"/>
      <c r="S52" s="51"/>
      <c r="T52" s="51"/>
      <c r="U52" s="51"/>
      <c r="V52" s="51"/>
      <c r="W52" s="2">
        <f>SUM(Mod_CL[[#This Row],[Inv 1 (630kw) unit 1]:[Inv 3 (630kw) unit 4]])</f>
        <v>8640</v>
      </c>
      <c r="X52" s="51"/>
      <c r="Y52" s="51"/>
      <c r="Z52" s="51"/>
      <c r="AA52" s="51"/>
      <c r="AB52" s="51"/>
      <c r="AC52" s="51"/>
      <c r="AD52" s="51"/>
    </row>
    <row r="53" spans="1:30" x14ac:dyDescent="0.3">
      <c r="A53" s="51">
        <v>51</v>
      </c>
      <c r="B53" s="51">
        <f>YEAR(Mod_CL[[#This Row],[Date]])+IF(MONTH(Mod_CL[[#This Row],[Date]])&gt;=4,1,0)</f>
        <v>2026</v>
      </c>
      <c r="C53" s="51">
        <f>YEAR(Mod_CL[[#This Row],[Date]])</f>
        <v>2025</v>
      </c>
      <c r="D53" s="54" t="s">
        <v>1070</v>
      </c>
      <c r="E53" s="54" t="s">
        <v>1070</v>
      </c>
      <c r="F53" s="2" t="str">
        <f>TEXT(Mod_CL[[#This Row],[Date]],"mmm-yy")</f>
        <v>May-25</v>
      </c>
      <c r="G53" s="2">
        <f>DAY(EOMONTH(Mod_CL[[#This Row],[Month Year]],0))</f>
        <v>31</v>
      </c>
      <c r="H53" s="95">
        <f t="shared" si="1"/>
        <v>45795</v>
      </c>
      <c r="I53" s="51">
        <v>6</v>
      </c>
      <c r="J53" s="51">
        <v>2</v>
      </c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2">
        <f>SUM(Mod_CL[[#This Row],[Inv 1 (630kw) unit 1]:[Inv 3 (630kw) unit 4]])</f>
        <v>0</v>
      </c>
      <c r="X53" s="51"/>
      <c r="Y53" s="51"/>
      <c r="Z53" s="51"/>
      <c r="AA53" s="51"/>
      <c r="AB53" s="51"/>
      <c r="AC53" s="51"/>
      <c r="AD53" s="51" t="s">
        <v>1040</v>
      </c>
    </row>
    <row r="54" spans="1:30" x14ac:dyDescent="0.3">
      <c r="A54" s="51">
        <v>52</v>
      </c>
      <c r="B54" s="51">
        <f>YEAR(Mod_CL[[#This Row],[Date]])+IF(MONTH(Mod_CL[[#This Row],[Date]])&gt;=4,1,0)</f>
        <v>2026</v>
      </c>
      <c r="C54" s="51">
        <f>YEAR(Mod_CL[[#This Row],[Date]])</f>
        <v>2025</v>
      </c>
      <c r="D54" s="54" t="s">
        <v>1070</v>
      </c>
      <c r="E54" s="54" t="s">
        <v>1070</v>
      </c>
      <c r="F54" s="2" t="str">
        <f>TEXT(Mod_CL[[#This Row],[Date]],"mmm-yy")</f>
        <v>May-25</v>
      </c>
      <c r="G54" s="2">
        <f>DAY(EOMONTH(Mod_CL[[#This Row],[Month Year]],0))</f>
        <v>31</v>
      </c>
      <c r="H54" s="95">
        <f t="shared" si="1"/>
        <v>45796</v>
      </c>
      <c r="I54" s="51">
        <v>6</v>
      </c>
      <c r="J54" s="51">
        <v>2</v>
      </c>
      <c r="K54" s="51"/>
      <c r="L54" s="51"/>
      <c r="M54" s="51"/>
      <c r="N54" s="51"/>
      <c r="O54" s="51">
        <v>2160</v>
      </c>
      <c r="P54" s="51">
        <v>2160</v>
      </c>
      <c r="Q54" s="51">
        <v>2160</v>
      </c>
      <c r="R54" s="51">
        <v>2160</v>
      </c>
      <c r="S54" s="51"/>
      <c r="T54" s="51"/>
      <c r="U54" s="51"/>
      <c r="V54" s="51"/>
      <c r="W54" s="2">
        <f>SUM(Mod_CL[[#This Row],[Inv 1 (630kw) unit 1]:[Inv 3 (630kw) unit 4]])</f>
        <v>8640</v>
      </c>
      <c r="X54" s="51"/>
      <c r="Y54" s="51"/>
      <c r="Z54" s="51"/>
      <c r="AA54" s="51"/>
      <c r="AB54" s="51"/>
      <c r="AC54" s="51"/>
      <c r="AD54" s="51"/>
    </row>
    <row r="55" spans="1:30" x14ac:dyDescent="0.3">
      <c r="A55" s="51">
        <v>53</v>
      </c>
      <c r="B55" s="51">
        <f>YEAR(Mod_CL[[#This Row],[Date]])+IF(MONTH(Mod_CL[[#This Row],[Date]])&gt;=4,1,0)</f>
        <v>2026</v>
      </c>
      <c r="C55" s="51">
        <f>YEAR(Mod_CL[[#This Row],[Date]])</f>
        <v>2025</v>
      </c>
      <c r="D55" s="54" t="s">
        <v>1070</v>
      </c>
      <c r="E55" s="54" t="s">
        <v>1070</v>
      </c>
      <c r="F55" s="2" t="str">
        <f>TEXT(Mod_CL[[#This Row],[Date]],"mmm-yy")</f>
        <v>May-25</v>
      </c>
      <c r="G55" s="2">
        <f>DAY(EOMONTH(Mod_CL[[#This Row],[Month Year]],0))</f>
        <v>31</v>
      </c>
      <c r="H55" s="95">
        <f t="shared" si="1"/>
        <v>45797</v>
      </c>
      <c r="I55" s="51">
        <v>6</v>
      </c>
      <c r="J55" s="51">
        <v>2</v>
      </c>
      <c r="K55" s="51"/>
      <c r="L55" s="51"/>
      <c r="M55" s="51"/>
      <c r="N55" s="51"/>
      <c r="O55" s="51"/>
      <c r="P55" s="51"/>
      <c r="Q55" s="51"/>
      <c r="R55" s="51"/>
      <c r="S55" s="51">
        <v>2160</v>
      </c>
      <c r="T55" s="51">
        <v>2160</v>
      </c>
      <c r="U55" s="51">
        <v>2160</v>
      </c>
      <c r="V55" s="51">
        <v>2160</v>
      </c>
      <c r="W55" s="2">
        <f>SUM(Mod_CL[[#This Row],[Inv 1 (630kw) unit 1]:[Inv 3 (630kw) unit 4]])</f>
        <v>8640</v>
      </c>
      <c r="X55" s="51"/>
      <c r="Y55" s="51"/>
      <c r="Z55" s="51"/>
      <c r="AA55" s="51"/>
      <c r="AB55" s="51"/>
      <c r="AC55" s="51"/>
      <c r="AD55" s="51"/>
    </row>
    <row r="56" spans="1:30" x14ac:dyDescent="0.3">
      <c r="A56" s="51">
        <v>54</v>
      </c>
      <c r="B56" s="51">
        <f>YEAR(Mod_CL[[#This Row],[Date]])+IF(MONTH(Mod_CL[[#This Row],[Date]])&gt;=4,1,0)</f>
        <v>2026</v>
      </c>
      <c r="C56" s="51">
        <f>YEAR(Mod_CL[[#This Row],[Date]])</f>
        <v>2025</v>
      </c>
      <c r="D56" s="54" t="s">
        <v>1070</v>
      </c>
      <c r="E56" s="54" t="s">
        <v>1070</v>
      </c>
      <c r="F56" s="2" t="str">
        <f>TEXT(Mod_CL[[#This Row],[Date]],"mmm-yy")</f>
        <v>May-25</v>
      </c>
      <c r="G56" s="2">
        <f>DAY(EOMONTH(Mod_CL[[#This Row],[Month Year]],0))</f>
        <v>31</v>
      </c>
      <c r="H56" s="95">
        <f t="shared" si="1"/>
        <v>45798</v>
      </c>
      <c r="I56" s="51">
        <v>7</v>
      </c>
      <c r="J56" s="51">
        <v>2</v>
      </c>
      <c r="K56" s="51">
        <v>2160</v>
      </c>
      <c r="L56" s="51">
        <v>2160</v>
      </c>
      <c r="M56" s="51">
        <v>2160</v>
      </c>
      <c r="N56" s="51">
        <v>2160</v>
      </c>
      <c r="O56" s="51"/>
      <c r="P56" s="51"/>
      <c r="Q56" s="51"/>
      <c r="R56" s="51"/>
      <c r="S56" s="51"/>
      <c r="T56" s="51"/>
      <c r="U56" s="51"/>
      <c r="V56" s="51"/>
      <c r="W56" s="2">
        <f>SUM(Mod_CL[[#This Row],[Inv 1 (630kw) unit 1]:[Inv 3 (630kw) unit 4]])</f>
        <v>8640</v>
      </c>
      <c r="X56" s="51"/>
      <c r="Y56" s="51"/>
      <c r="Z56" s="51"/>
      <c r="AA56" s="51"/>
      <c r="AB56" s="51"/>
      <c r="AC56" s="51"/>
      <c r="AD56" s="51"/>
    </row>
    <row r="57" spans="1:30" x14ac:dyDescent="0.3">
      <c r="A57" s="51">
        <v>55</v>
      </c>
      <c r="B57" s="51">
        <f>YEAR(Mod_CL[[#This Row],[Date]])+IF(MONTH(Mod_CL[[#This Row],[Date]])&gt;=4,1,0)</f>
        <v>2026</v>
      </c>
      <c r="C57" s="51">
        <f>YEAR(Mod_CL[[#This Row],[Date]])</f>
        <v>2025</v>
      </c>
      <c r="D57" s="54" t="s">
        <v>1070</v>
      </c>
      <c r="E57" s="54" t="s">
        <v>1070</v>
      </c>
      <c r="F57" s="2" t="str">
        <f>TEXT(Mod_CL[[#This Row],[Date]],"mmm-yy")</f>
        <v>May-25</v>
      </c>
      <c r="G57" s="2">
        <f>DAY(EOMONTH(Mod_CL[[#This Row],[Month Year]],0))</f>
        <v>31</v>
      </c>
      <c r="H57" s="95">
        <f t="shared" si="1"/>
        <v>45799</v>
      </c>
      <c r="I57" s="51">
        <v>7</v>
      </c>
      <c r="J57" s="51">
        <v>2</v>
      </c>
      <c r="K57" s="51"/>
      <c r="L57" s="51"/>
      <c r="M57" s="51"/>
      <c r="N57" s="51"/>
      <c r="O57" s="51">
        <v>2160</v>
      </c>
      <c r="P57" s="51">
        <v>2160</v>
      </c>
      <c r="Q57" s="51">
        <v>2160</v>
      </c>
      <c r="R57" s="51">
        <v>2160</v>
      </c>
      <c r="S57" s="51"/>
      <c r="T57" s="51"/>
      <c r="U57" s="51"/>
      <c r="V57" s="51"/>
      <c r="W57" s="2">
        <f>SUM(Mod_CL[[#This Row],[Inv 1 (630kw) unit 1]:[Inv 3 (630kw) unit 4]])</f>
        <v>8640</v>
      </c>
      <c r="X57" s="51"/>
      <c r="Y57" s="51"/>
      <c r="Z57" s="51"/>
      <c r="AA57" s="51"/>
      <c r="AB57" s="51"/>
      <c r="AC57" s="51"/>
      <c r="AD57" s="51"/>
    </row>
    <row r="58" spans="1:30" x14ac:dyDescent="0.3">
      <c r="A58" s="51">
        <v>56</v>
      </c>
      <c r="B58" s="51">
        <f>YEAR(Mod_CL[[#This Row],[Date]])+IF(MONTH(Mod_CL[[#This Row],[Date]])&gt;=4,1,0)</f>
        <v>2026</v>
      </c>
      <c r="C58" s="51">
        <f>YEAR(Mod_CL[[#This Row],[Date]])</f>
        <v>2025</v>
      </c>
      <c r="D58" s="54" t="s">
        <v>1070</v>
      </c>
      <c r="E58" s="54" t="s">
        <v>1070</v>
      </c>
      <c r="F58" s="2" t="str">
        <f>TEXT(Mod_CL[[#This Row],[Date]],"mmm-yy")</f>
        <v>May-25</v>
      </c>
      <c r="G58" s="2">
        <f>DAY(EOMONTH(Mod_CL[[#This Row],[Month Year]],0))</f>
        <v>31</v>
      </c>
      <c r="H58" s="95">
        <f t="shared" si="1"/>
        <v>45800</v>
      </c>
      <c r="I58" s="51">
        <v>7</v>
      </c>
      <c r="J58" s="51">
        <v>2</v>
      </c>
      <c r="K58" s="51"/>
      <c r="L58" s="51"/>
      <c r="M58" s="51"/>
      <c r="N58" s="51"/>
      <c r="O58" s="51"/>
      <c r="P58" s="51"/>
      <c r="Q58" s="51"/>
      <c r="R58" s="51"/>
      <c r="S58" s="51">
        <v>2160</v>
      </c>
      <c r="T58" s="51">
        <v>2160</v>
      </c>
      <c r="U58" s="51">
        <v>2160</v>
      </c>
      <c r="V58" s="51">
        <v>2160</v>
      </c>
      <c r="W58" s="2">
        <f>SUM(Mod_CL[[#This Row],[Inv 1 (630kw) unit 1]:[Inv 3 (630kw) unit 4]])</f>
        <v>8640</v>
      </c>
      <c r="X58" s="51"/>
      <c r="Y58" s="51"/>
      <c r="Z58" s="51"/>
      <c r="AA58" s="51"/>
      <c r="AB58" s="51"/>
      <c r="AC58" s="51"/>
      <c r="AD58" s="51"/>
    </row>
    <row r="59" spans="1:30" x14ac:dyDescent="0.3">
      <c r="A59" s="51">
        <v>57</v>
      </c>
      <c r="B59" s="51">
        <f>YEAR(Mod_CL[[#This Row],[Date]])+IF(MONTH(Mod_CL[[#This Row],[Date]])&gt;=4,1,0)</f>
        <v>2026</v>
      </c>
      <c r="C59" s="51">
        <f>YEAR(Mod_CL[[#This Row],[Date]])</f>
        <v>2025</v>
      </c>
      <c r="D59" s="54" t="s">
        <v>1070</v>
      </c>
      <c r="E59" s="54" t="s">
        <v>1070</v>
      </c>
      <c r="F59" s="2" t="str">
        <f>TEXT(Mod_CL[[#This Row],[Date]],"mmm-yy")</f>
        <v>May-25</v>
      </c>
      <c r="G59" s="2">
        <f>DAY(EOMONTH(Mod_CL[[#This Row],[Month Year]],0))</f>
        <v>31</v>
      </c>
      <c r="H59" s="95">
        <f t="shared" si="1"/>
        <v>45801</v>
      </c>
      <c r="I59" s="51">
        <v>8</v>
      </c>
      <c r="J59" s="51">
        <v>2</v>
      </c>
      <c r="K59" s="51">
        <v>2160</v>
      </c>
      <c r="L59" s="51">
        <v>2160</v>
      </c>
      <c r="M59" s="51">
        <v>2160</v>
      </c>
      <c r="N59" s="51">
        <v>2160</v>
      </c>
      <c r="O59" s="51"/>
      <c r="P59" s="51"/>
      <c r="Q59" s="51"/>
      <c r="R59" s="51"/>
      <c r="S59" s="51"/>
      <c r="T59" s="51"/>
      <c r="U59" s="51"/>
      <c r="V59" s="51"/>
      <c r="W59" s="2">
        <f>SUM(Mod_CL[[#This Row],[Inv 1 (630kw) unit 1]:[Inv 3 (630kw) unit 4]])</f>
        <v>8640</v>
      </c>
      <c r="X59" s="51"/>
      <c r="Y59" s="51"/>
      <c r="Z59" s="51"/>
      <c r="AA59" s="51"/>
      <c r="AB59" s="51"/>
      <c r="AC59" s="51"/>
      <c r="AD59" s="51"/>
    </row>
    <row r="60" spans="1:30" x14ac:dyDescent="0.3">
      <c r="A60" s="51">
        <v>58</v>
      </c>
      <c r="B60" s="51">
        <f>YEAR(Mod_CL[[#This Row],[Date]])+IF(MONTH(Mod_CL[[#This Row],[Date]])&gt;=4,1,0)</f>
        <v>2026</v>
      </c>
      <c r="C60" s="51">
        <f>YEAR(Mod_CL[[#This Row],[Date]])</f>
        <v>2025</v>
      </c>
      <c r="D60" s="54" t="s">
        <v>1070</v>
      </c>
      <c r="E60" s="54" t="s">
        <v>1070</v>
      </c>
      <c r="F60" s="2" t="str">
        <f>TEXT(Mod_CL[[#This Row],[Date]],"mmm-yy")</f>
        <v>May-25</v>
      </c>
      <c r="G60" s="2">
        <f>DAY(EOMONTH(Mod_CL[[#This Row],[Month Year]],0))</f>
        <v>31</v>
      </c>
      <c r="H60" s="95">
        <f t="shared" si="1"/>
        <v>45802</v>
      </c>
      <c r="I60" s="51">
        <v>8</v>
      </c>
      <c r="J60" s="51">
        <v>2</v>
      </c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2">
        <f>SUM(Mod_CL[[#This Row],[Inv 1 (630kw) unit 1]:[Inv 3 (630kw) unit 4]])</f>
        <v>0</v>
      </c>
      <c r="X60" s="51"/>
      <c r="Y60" s="51"/>
      <c r="Z60" s="51"/>
      <c r="AA60" s="51"/>
      <c r="AB60" s="51"/>
      <c r="AC60" s="51"/>
      <c r="AD60" s="51" t="s">
        <v>1040</v>
      </c>
    </row>
    <row r="61" spans="1:30" x14ac:dyDescent="0.3">
      <c r="A61" s="51">
        <v>59</v>
      </c>
      <c r="B61" s="51">
        <f>YEAR(Mod_CL[[#This Row],[Date]])+IF(MONTH(Mod_CL[[#This Row],[Date]])&gt;=4,1,0)</f>
        <v>2026</v>
      </c>
      <c r="C61" s="51">
        <f>YEAR(Mod_CL[[#This Row],[Date]])</f>
        <v>2025</v>
      </c>
      <c r="D61" s="54" t="s">
        <v>1070</v>
      </c>
      <c r="E61" s="54" t="s">
        <v>1070</v>
      </c>
      <c r="F61" s="2" t="str">
        <f>TEXT(Mod_CL[[#This Row],[Date]],"mmm-yy")</f>
        <v>May-25</v>
      </c>
      <c r="G61" s="2">
        <f>DAY(EOMONTH(Mod_CL[[#This Row],[Month Year]],0))</f>
        <v>31</v>
      </c>
      <c r="H61" s="95">
        <f t="shared" si="1"/>
        <v>45803</v>
      </c>
      <c r="I61" s="51">
        <v>8</v>
      </c>
      <c r="J61" s="51">
        <v>2</v>
      </c>
      <c r="K61" s="51"/>
      <c r="L61" s="51"/>
      <c r="M61" s="51"/>
      <c r="N61" s="51"/>
      <c r="O61" s="51">
        <v>2160</v>
      </c>
      <c r="P61" s="51">
        <v>2160</v>
      </c>
      <c r="Q61" s="51">
        <v>2160</v>
      </c>
      <c r="R61" s="51">
        <v>2160</v>
      </c>
      <c r="S61" s="51"/>
      <c r="T61" s="51"/>
      <c r="U61" s="51"/>
      <c r="V61" s="51"/>
      <c r="W61" s="2">
        <f>SUM(Mod_CL[[#This Row],[Inv 1 (630kw) unit 1]:[Inv 3 (630kw) unit 4]])</f>
        <v>8640</v>
      </c>
      <c r="X61" s="51"/>
      <c r="Y61" s="51"/>
      <c r="Z61" s="51"/>
      <c r="AA61" s="51"/>
      <c r="AB61" s="51"/>
      <c r="AC61" s="51"/>
      <c r="AD61" s="51"/>
    </row>
    <row r="62" spans="1:30" x14ac:dyDescent="0.3">
      <c r="A62" s="51">
        <v>60</v>
      </c>
      <c r="B62" s="51">
        <f>YEAR(Mod_CL[[#This Row],[Date]])+IF(MONTH(Mod_CL[[#This Row],[Date]])&gt;=4,1,0)</f>
        <v>2026</v>
      </c>
      <c r="C62" s="51">
        <f>YEAR(Mod_CL[[#This Row],[Date]])</f>
        <v>2025</v>
      </c>
      <c r="D62" s="54" t="s">
        <v>1070</v>
      </c>
      <c r="E62" s="54" t="s">
        <v>1070</v>
      </c>
      <c r="F62" s="2" t="str">
        <f>TEXT(Mod_CL[[#This Row],[Date]],"mmm-yy")</f>
        <v>May-25</v>
      </c>
      <c r="G62" s="2">
        <f>DAY(EOMONTH(Mod_CL[[#This Row],[Month Year]],0))</f>
        <v>31</v>
      </c>
      <c r="H62" s="95">
        <f t="shared" si="1"/>
        <v>45804</v>
      </c>
      <c r="I62" s="51">
        <v>8</v>
      </c>
      <c r="J62" s="51">
        <v>2</v>
      </c>
      <c r="K62" s="51"/>
      <c r="L62" s="51"/>
      <c r="M62" s="51"/>
      <c r="N62" s="51"/>
      <c r="O62" s="51"/>
      <c r="P62" s="51"/>
      <c r="Q62" s="51"/>
      <c r="R62" s="51"/>
      <c r="S62" s="51">
        <v>2160</v>
      </c>
      <c r="T62" s="51">
        <v>2160</v>
      </c>
      <c r="U62" s="51">
        <v>2160</v>
      </c>
      <c r="V62" s="51">
        <v>2160</v>
      </c>
      <c r="W62" s="2">
        <f>SUM(Mod_CL[[#This Row],[Inv 1 (630kw) unit 1]:[Inv 3 (630kw) unit 4]])</f>
        <v>8640</v>
      </c>
      <c r="X62" s="51"/>
      <c r="Y62" s="51"/>
      <c r="Z62" s="51"/>
      <c r="AA62" s="51"/>
      <c r="AB62" s="51"/>
      <c r="AC62" s="51"/>
      <c r="AD62" s="51"/>
    </row>
    <row r="63" spans="1:30" x14ac:dyDescent="0.3">
      <c r="A63" s="51">
        <v>61</v>
      </c>
      <c r="B63" s="51">
        <f>YEAR(Mod_CL[[#This Row],[Date]])+IF(MONTH(Mod_CL[[#This Row],[Date]])&gt;=4,1,0)</f>
        <v>2026</v>
      </c>
      <c r="C63" s="51">
        <f>YEAR(Mod_CL[[#This Row],[Date]])</f>
        <v>2025</v>
      </c>
      <c r="D63" s="54" t="s">
        <v>1070</v>
      </c>
      <c r="E63" s="54" t="s">
        <v>1070</v>
      </c>
      <c r="F63" s="2" t="str">
        <f>TEXT(Mod_CL[[#This Row],[Date]],"mmm-yy")</f>
        <v>May-25</v>
      </c>
      <c r="G63" s="2">
        <f>DAY(EOMONTH(Mod_CL[[#This Row],[Month Year]],0))</f>
        <v>31</v>
      </c>
      <c r="H63" s="95">
        <f t="shared" si="1"/>
        <v>45805</v>
      </c>
      <c r="I63" s="51">
        <v>9</v>
      </c>
      <c r="J63" s="51">
        <v>2</v>
      </c>
      <c r="K63" s="51">
        <v>2160</v>
      </c>
      <c r="L63" s="51">
        <v>2160</v>
      </c>
      <c r="M63" s="51">
        <v>2160</v>
      </c>
      <c r="N63" s="51">
        <v>2160</v>
      </c>
      <c r="O63" s="51"/>
      <c r="P63" s="51"/>
      <c r="Q63" s="51"/>
      <c r="R63" s="51"/>
      <c r="S63" s="51"/>
      <c r="T63" s="51"/>
      <c r="U63" s="51"/>
      <c r="V63" s="51"/>
      <c r="W63" s="2">
        <f>SUM(Mod_CL[[#This Row],[Inv 1 (630kw) unit 1]:[Inv 3 (630kw) unit 4]])</f>
        <v>8640</v>
      </c>
      <c r="X63" s="51"/>
      <c r="Y63" s="51"/>
      <c r="Z63" s="51"/>
      <c r="AA63" s="51"/>
      <c r="AB63" s="51"/>
      <c r="AC63" s="51"/>
      <c r="AD63" s="51"/>
    </row>
    <row r="64" spans="1:30" x14ac:dyDescent="0.3">
      <c r="A64" s="51">
        <v>62</v>
      </c>
      <c r="B64" s="51">
        <f>YEAR(Mod_CL[[#This Row],[Date]])+IF(MONTH(Mod_CL[[#This Row],[Date]])&gt;=4,1,0)</f>
        <v>2026</v>
      </c>
      <c r="C64" s="51">
        <f>YEAR(Mod_CL[[#This Row],[Date]])</f>
        <v>2025</v>
      </c>
      <c r="D64" s="54" t="s">
        <v>1070</v>
      </c>
      <c r="E64" s="54" t="s">
        <v>1070</v>
      </c>
      <c r="F64" s="2" t="str">
        <f>TEXT(Mod_CL[[#This Row],[Date]],"mmm-yy")</f>
        <v>May-25</v>
      </c>
      <c r="G64" s="2">
        <f>DAY(EOMONTH(Mod_CL[[#This Row],[Month Year]],0))</f>
        <v>31</v>
      </c>
      <c r="H64" s="95">
        <f t="shared" si="1"/>
        <v>45806</v>
      </c>
      <c r="I64" s="51">
        <v>9</v>
      </c>
      <c r="J64" s="51">
        <v>2</v>
      </c>
      <c r="K64" s="51"/>
      <c r="L64" s="51"/>
      <c r="M64" s="51"/>
      <c r="N64" s="51"/>
      <c r="O64" s="51">
        <v>2160</v>
      </c>
      <c r="P64" s="51">
        <v>2160</v>
      </c>
      <c r="Q64" s="51">
        <v>2160</v>
      </c>
      <c r="R64" s="51">
        <v>2160</v>
      </c>
      <c r="S64" s="51"/>
      <c r="T64" s="51"/>
      <c r="U64" s="51"/>
      <c r="V64" s="51"/>
      <c r="W64" s="2">
        <f>SUM(Mod_CL[[#This Row],[Inv 1 (630kw) unit 1]:[Inv 3 (630kw) unit 4]])</f>
        <v>8640</v>
      </c>
      <c r="X64" s="51"/>
      <c r="Y64" s="51"/>
      <c r="Z64" s="51"/>
      <c r="AA64" s="51"/>
      <c r="AB64" s="51"/>
      <c r="AC64" s="51"/>
      <c r="AD64" s="51"/>
    </row>
    <row r="65" spans="1:30" x14ac:dyDescent="0.3">
      <c r="A65" s="51">
        <v>63</v>
      </c>
      <c r="B65" s="51">
        <f>YEAR(Mod_CL[[#This Row],[Date]])+IF(MONTH(Mod_CL[[#This Row],[Date]])&gt;=4,1,0)</f>
        <v>2026</v>
      </c>
      <c r="C65" s="51">
        <f>YEAR(Mod_CL[[#This Row],[Date]])</f>
        <v>2025</v>
      </c>
      <c r="D65" s="54" t="s">
        <v>1070</v>
      </c>
      <c r="E65" s="54" t="s">
        <v>1070</v>
      </c>
      <c r="F65" s="2" t="str">
        <f>TEXT(Mod_CL[[#This Row],[Date]],"mmm-yy")</f>
        <v>May-25</v>
      </c>
      <c r="G65" s="2">
        <f>DAY(EOMONTH(Mod_CL[[#This Row],[Month Year]],0))</f>
        <v>31</v>
      </c>
      <c r="H65" s="95">
        <f t="shared" si="1"/>
        <v>45807</v>
      </c>
      <c r="I65" s="51">
        <v>9</v>
      </c>
      <c r="J65" s="51">
        <v>2</v>
      </c>
      <c r="K65" s="51"/>
      <c r="L65" s="51"/>
      <c r="M65" s="51"/>
      <c r="N65" s="51"/>
      <c r="O65" s="51"/>
      <c r="P65" s="51"/>
      <c r="Q65" s="51"/>
      <c r="R65" s="51"/>
      <c r="S65" s="51">
        <v>2160</v>
      </c>
      <c r="T65" s="51">
        <v>2160</v>
      </c>
      <c r="U65" s="51">
        <v>2160</v>
      </c>
      <c r="V65" s="51">
        <v>2160</v>
      </c>
      <c r="W65" s="2">
        <f>SUM(Mod_CL[[#This Row],[Inv 1 (630kw) unit 1]:[Inv 3 (630kw) unit 4]])</f>
        <v>8640</v>
      </c>
      <c r="X65" s="51"/>
      <c r="Y65" s="51"/>
      <c r="Z65" s="51"/>
      <c r="AA65" s="51"/>
      <c r="AB65" s="51"/>
      <c r="AC65" s="51"/>
      <c r="AD65" s="51"/>
    </row>
    <row r="66" spans="1:30" x14ac:dyDescent="0.3">
      <c r="A66" s="51">
        <v>64</v>
      </c>
      <c r="B66" s="51">
        <f>YEAR(Mod_CL[[#This Row],[Date]])+IF(MONTH(Mod_CL[[#This Row],[Date]])&gt;=4,1,0)</f>
        <v>2026</v>
      </c>
      <c r="C66" s="51">
        <f>YEAR(Mod_CL[[#This Row],[Date]])</f>
        <v>2025</v>
      </c>
      <c r="D66" s="54" t="s">
        <v>1070</v>
      </c>
      <c r="E66" s="54" t="s">
        <v>1070</v>
      </c>
      <c r="F66" s="2" t="str">
        <f>TEXT(Mod_CL[[#This Row],[Date]],"mmm-yy")</f>
        <v>May-25</v>
      </c>
      <c r="G66" s="2">
        <f>DAY(EOMONTH(Mod_CL[[#This Row],[Month Year]],0))</f>
        <v>31</v>
      </c>
      <c r="H66" s="95">
        <f t="shared" si="1"/>
        <v>45808</v>
      </c>
      <c r="I66" s="51">
        <v>10</v>
      </c>
      <c r="J66" s="51">
        <v>2</v>
      </c>
      <c r="K66" s="51">
        <v>2160</v>
      </c>
      <c r="L66" s="51">
        <v>2160</v>
      </c>
      <c r="M66" s="51">
        <v>2160</v>
      </c>
      <c r="N66" s="51">
        <v>2160</v>
      </c>
      <c r="O66" s="51"/>
      <c r="P66" s="51"/>
      <c r="Q66" s="51"/>
      <c r="R66" s="51"/>
      <c r="S66" s="51"/>
      <c r="T66" s="51"/>
      <c r="U66" s="51"/>
      <c r="V66" s="51"/>
      <c r="W66" s="2">
        <f>SUM(Mod_CL[[#This Row],[Inv 1 (630kw) unit 1]:[Inv 3 (630kw) unit 4]])</f>
        <v>8640</v>
      </c>
      <c r="X66" s="51"/>
      <c r="Y66" s="51"/>
      <c r="Z66" s="51"/>
      <c r="AA66" s="51"/>
      <c r="AB66" s="51"/>
      <c r="AC66" s="51"/>
      <c r="AD66" s="51"/>
    </row>
    <row r="67" spans="1:30" x14ac:dyDescent="0.3">
      <c r="A67" s="51">
        <v>65</v>
      </c>
      <c r="B67" s="51">
        <f>YEAR(Mod_CL[[#This Row],[Date]])+IF(MONTH(Mod_CL[[#This Row],[Date]])&gt;=4,1,0)</f>
        <v>2026</v>
      </c>
      <c r="C67" s="51">
        <f>YEAR(Mod_CL[[#This Row],[Date]])</f>
        <v>2025</v>
      </c>
      <c r="D67" s="54" t="s">
        <v>1070</v>
      </c>
      <c r="E67" s="54" t="s">
        <v>1070</v>
      </c>
      <c r="F67" s="2" t="str">
        <f>TEXT(Mod_CL[[#This Row],[Date]],"mmm-yy")</f>
        <v>Jun-25</v>
      </c>
      <c r="G67" s="2">
        <f>DAY(EOMONTH(Mod_CL[[#This Row],[Month Year]],0))</f>
        <v>30</v>
      </c>
      <c r="H67" s="95">
        <f t="shared" si="1"/>
        <v>45809</v>
      </c>
      <c r="I67" s="51">
        <v>1</v>
      </c>
      <c r="J67" s="51">
        <v>2</v>
      </c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2">
        <f>SUM(Mod_CL[[#This Row],[Inv 1 (630kw) unit 1]:[Inv 3 (630kw) unit 4]])</f>
        <v>0</v>
      </c>
      <c r="X67" s="51"/>
      <c r="Y67" s="51"/>
      <c r="Z67" s="51"/>
      <c r="AA67" s="51"/>
      <c r="AB67" s="51"/>
      <c r="AC67" s="51"/>
      <c r="AD67" s="51" t="s">
        <v>1040</v>
      </c>
    </row>
    <row r="68" spans="1:30" x14ac:dyDescent="0.3">
      <c r="A68" s="51">
        <v>66</v>
      </c>
      <c r="B68" s="51">
        <f>YEAR(Mod_CL[[#This Row],[Date]])+IF(MONTH(Mod_CL[[#This Row],[Date]])&gt;=4,1,0)</f>
        <v>2026</v>
      </c>
      <c r="C68" s="51">
        <f>YEAR(Mod_CL[[#This Row],[Date]])</f>
        <v>2025</v>
      </c>
      <c r="D68" s="54" t="s">
        <v>1070</v>
      </c>
      <c r="E68" s="54" t="s">
        <v>1070</v>
      </c>
      <c r="F68" s="2" t="str">
        <f>TEXT(Mod_CL[[#This Row],[Date]],"mmm-yy")</f>
        <v>Jun-25</v>
      </c>
      <c r="G68" s="2">
        <f>DAY(EOMONTH(Mod_CL[[#This Row],[Month Year]],0))</f>
        <v>30</v>
      </c>
      <c r="H68" s="95">
        <f t="shared" si="1"/>
        <v>45810</v>
      </c>
      <c r="I68" s="51">
        <v>1</v>
      </c>
      <c r="J68" s="51">
        <v>2</v>
      </c>
      <c r="K68" s="51">
        <v>2160</v>
      </c>
      <c r="L68" s="51">
        <v>2160</v>
      </c>
      <c r="M68" s="51">
        <v>2160</v>
      </c>
      <c r="N68" s="51">
        <v>2160</v>
      </c>
      <c r="O68" s="51"/>
      <c r="P68" s="51"/>
      <c r="Q68" s="51"/>
      <c r="R68" s="51"/>
      <c r="S68" s="51"/>
      <c r="T68" s="51"/>
      <c r="U68" s="51"/>
      <c r="V68" s="51"/>
      <c r="W68" s="2">
        <f>SUM(Mod_CL[[#This Row],[Inv 1 (630kw) unit 1]:[Inv 3 (630kw) unit 4]])</f>
        <v>8640</v>
      </c>
      <c r="X68" s="51"/>
      <c r="Y68" s="51"/>
      <c r="Z68" s="51"/>
      <c r="AA68" s="51"/>
      <c r="AB68" s="51"/>
      <c r="AC68" s="51"/>
      <c r="AD68" s="51"/>
    </row>
    <row r="69" spans="1:30" x14ac:dyDescent="0.3">
      <c r="A69" s="51">
        <v>67</v>
      </c>
      <c r="B69" s="51">
        <f>YEAR(Mod_CL[[#This Row],[Date]])+IF(MONTH(Mod_CL[[#This Row],[Date]])&gt;=4,1,0)</f>
        <v>2026</v>
      </c>
      <c r="C69" s="51">
        <f>YEAR(Mod_CL[[#This Row],[Date]])</f>
        <v>2025</v>
      </c>
      <c r="D69" s="54" t="s">
        <v>1070</v>
      </c>
      <c r="E69" s="54" t="s">
        <v>1070</v>
      </c>
      <c r="F69" s="2" t="str">
        <f>TEXT(Mod_CL[[#This Row],[Date]],"mmm-yy")</f>
        <v>Jun-25</v>
      </c>
      <c r="G69" s="2">
        <f>DAY(EOMONTH(Mod_CL[[#This Row],[Month Year]],0))</f>
        <v>30</v>
      </c>
      <c r="H69" s="95">
        <f t="shared" ref="H69:H80" si="2">H68+1</f>
        <v>45811</v>
      </c>
      <c r="I69" s="51">
        <v>1</v>
      </c>
      <c r="J69" s="51">
        <v>2</v>
      </c>
      <c r="K69" s="51"/>
      <c r="L69" s="51"/>
      <c r="M69" s="51"/>
      <c r="N69" s="51"/>
      <c r="O69" s="51">
        <v>2160</v>
      </c>
      <c r="P69" s="51">
        <v>2160</v>
      </c>
      <c r="Q69" s="51">
        <v>2160</v>
      </c>
      <c r="R69" s="51">
        <v>2160</v>
      </c>
      <c r="S69" s="51"/>
      <c r="T69" s="51"/>
      <c r="U69" s="51"/>
      <c r="V69" s="51"/>
      <c r="W69" s="2">
        <f>SUM(Mod_CL[[#This Row],[Inv 1 (630kw) unit 1]:[Inv 3 (630kw) unit 4]])</f>
        <v>8640</v>
      </c>
      <c r="X69" s="51"/>
      <c r="Y69" s="51"/>
      <c r="Z69" s="51"/>
      <c r="AA69" s="51"/>
      <c r="AB69" s="51"/>
      <c r="AC69" s="51"/>
      <c r="AD69" s="51"/>
    </row>
    <row r="70" spans="1:30" x14ac:dyDescent="0.3">
      <c r="A70" s="51">
        <v>68</v>
      </c>
      <c r="B70" s="51">
        <f>YEAR(Mod_CL[[#This Row],[Date]])+IF(MONTH(Mod_CL[[#This Row],[Date]])&gt;=4,1,0)</f>
        <v>2026</v>
      </c>
      <c r="C70" s="51">
        <f>YEAR(Mod_CL[[#This Row],[Date]])</f>
        <v>2025</v>
      </c>
      <c r="D70" s="54" t="s">
        <v>1070</v>
      </c>
      <c r="E70" s="54" t="s">
        <v>1070</v>
      </c>
      <c r="F70" s="2" t="str">
        <f>TEXT(Mod_CL[[#This Row],[Date]],"mmm-yy")</f>
        <v>Jun-25</v>
      </c>
      <c r="G70" s="2">
        <f>DAY(EOMONTH(Mod_CL[[#This Row],[Month Year]],0))</f>
        <v>30</v>
      </c>
      <c r="H70" s="95">
        <f t="shared" si="2"/>
        <v>45812</v>
      </c>
      <c r="I70" s="51">
        <v>2</v>
      </c>
      <c r="J70" s="51">
        <v>2</v>
      </c>
      <c r="K70" s="51">
        <v>2160</v>
      </c>
      <c r="L70" s="51">
        <v>2160</v>
      </c>
      <c r="M70" s="51">
        <v>2160</v>
      </c>
      <c r="N70" s="51">
        <v>2160</v>
      </c>
      <c r="O70" s="51"/>
      <c r="P70" s="51"/>
      <c r="Q70" s="51"/>
      <c r="R70" s="51"/>
      <c r="S70" s="51"/>
      <c r="T70" s="51"/>
      <c r="U70" s="51"/>
      <c r="V70" s="51"/>
      <c r="W70" s="2">
        <f>SUM(Mod_CL[[#This Row],[Inv 1 (630kw) unit 1]:[Inv 3 (630kw) unit 4]])</f>
        <v>8640</v>
      </c>
      <c r="X70" s="51"/>
      <c r="Y70" s="51"/>
      <c r="Z70" s="51"/>
      <c r="AA70" s="51"/>
      <c r="AB70" s="51"/>
      <c r="AC70" s="51"/>
      <c r="AD70" s="51"/>
    </row>
    <row r="71" spans="1:30" x14ac:dyDescent="0.3">
      <c r="A71" s="51">
        <v>69</v>
      </c>
      <c r="B71" s="51">
        <f>YEAR(Mod_CL[[#This Row],[Date]])+IF(MONTH(Mod_CL[[#This Row],[Date]])&gt;=4,1,0)</f>
        <v>2026</v>
      </c>
      <c r="C71" s="51">
        <f>YEAR(Mod_CL[[#This Row],[Date]])</f>
        <v>2025</v>
      </c>
      <c r="D71" s="54" t="s">
        <v>1070</v>
      </c>
      <c r="E71" s="54" t="s">
        <v>1070</v>
      </c>
      <c r="F71" s="2" t="str">
        <f>TEXT(Mod_CL[[#This Row],[Date]],"mmm-yy")</f>
        <v>Jun-25</v>
      </c>
      <c r="G71" s="2">
        <f>DAY(EOMONTH(Mod_CL[[#This Row],[Month Year]],0))</f>
        <v>30</v>
      </c>
      <c r="H71" s="95">
        <f t="shared" si="2"/>
        <v>45813</v>
      </c>
      <c r="I71" s="51">
        <v>2</v>
      </c>
      <c r="J71" s="51">
        <v>2</v>
      </c>
      <c r="K71" s="51"/>
      <c r="L71" s="51"/>
      <c r="M71" s="51"/>
      <c r="N71" s="51"/>
      <c r="O71" s="51">
        <v>2160</v>
      </c>
      <c r="P71" s="51">
        <v>2160</v>
      </c>
      <c r="Q71" s="51">
        <v>2160</v>
      </c>
      <c r="R71" s="51">
        <v>2160</v>
      </c>
      <c r="S71" s="51"/>
      <c r="T71" s="51"/>
      <c r="U71" s="51"/>
      <c r="V71" s="51"/>
      <c r="W71" s="2">
        <f>SUM(Mod_CL[[#This Row],[Inv 1 (630kw) unit 1]:[Inv 3 (630kw) unit 4]])</f>
        <v>8640</v>
      </c>
      <c r="X71" s="51"/>
      <c r="Y71" s="51"/>
      <c r="Z71" s="51"/>
      <c r="AA71" s="51"/>
      <c r="AB71" s="51"/>
      <c r="AC71" s="51"/>
      <c r="AD71" s="51"/>
    </row>
    <row r="72" spans="1:30" x14ac:dyDescent="0.3">
      <c r="A72" s="51">
        <v>70</v>
      </c>
      <c r="B72" s="51">
        <f>YEAR(Mod_CL[[#This Row],[Date]])+IF(MONTH(Mod_CL[[#This Row],[Date]])&gt;=4,1,0)</f>
        <v>2026</v>
      </c>
      <c r="C72" s="51">
        <f>YEAR(Mod_CL[[#This Row],[Date]])</f>
        <v>2025</v>
      </c>
      <c r="D72" s="54" t="s">
        <v>1070</v>
      </c>
      <c r="E72" s="54" t="s">
        <v>1070</v>
      </c>
      <c r="F72" s="2" t="str">
        <f>TEXT(Mod_CL[[#This Row],[Date]],"mmm-yy")</f>
        <v>Jun-25</v>
      </c>
      <c r="G72" s="2">
        <f>DAY(EOMONTH(Mod_CL[[#This Row],[Month Year]],0))</f>
        <v>30</v>
      </c>
      <c r="H72" s="95">
        <f t="shared" si="2"/>
        <v>45814</v>
      </c>
      <c r="I72" s="51">
        <v>2</v>
      </c>
      <c r="J72" s="51">
        <v>2</v>
      </c>
      <c r="K72" s="51"/>
      <c r="L72" s="51"/>
      <c r="M72" s="51"/>
      <c r="N72" s="51"/>
      <c r="O72" s="51"/>
      <c r="P72" s="51"/>
      <c r="Q72" s="51"/>
      <c r="R72" s="51"/>
      <c r="S72" s="51">
        <v>2160</v>
      </c>
      <c r="T72" s="51">
        <v>2160</v>
      </c>
      <c r="U72" s="51">
        <v>2160</v>
      </c>
      <c r="V72" s="51">
        <v>2160</v>
      </c>
      <c r="W72" s="2">
        <f>SUM(Mod_CL[[#This Row],[Inv 1 (630kw) unit 1]:[Inv 3 (630kw) unit 4]])</f>
        <v>8640</v>
      </c>
      <c r="X72" s="51"/>
      <c r="Y72" s="51"/>
      <c r="Z72" s="51"/>
      <c r="AA72" s="51"/>
      <c r="AB72" s="51"/>
      <c r="AC72" s="51"/>
      <c r="AD72" s="51"/>
    </row>
    <row r="73" spans="1:30" x14ac:dyDescent="0.3">
      <c r="A73" s="51">
        <v>71</v>
      </c>
      <c r="B73" s="51">
        <f>YEAR(Mod_CL[[#This Row],[Date]])+IF(MONTH(Mod_CL[[#This Row],[Date]])&gt;=4,1,0)</f>
        <v>2026</v>
      </c>
      <c r="C73" s="51">
        <f>YEAR(Mod_CL[[#This Row],[Date]])</f>
        <v>2025</v>
      </c>
      <c r="D73" s="54" t="s">
        <v>1070</v>
      </c>
      <c r="E73" s="54" t="s">
        <v>1070</v>
      </c>
      <c r="F73" s="2" t="str">
        <f>TEXT(Mod_CL[[#This Row],[Date]],"mmm-yy")</f>
        <v>Jun-25</v>
      </c>
      <c r="G73" s="2">
        <f>DAY(EOMONTH(Mod_CL[[#This Row],[Month Year]],0))</f>
        <v>30</v>
      </c>
      <c r="H73" s="95">
        <f t="shared" si="2"/>
        <v>45815</v>
      </c>
      <c r="I73" s="51">
        <v>3</v>
      </c>
      <c r="J73" s="51">
        <v>2</v>
      </c>
      <c r="K73" s="51">
        <v>2160</v>
      </c>
      <c r="L73" s="51">
        <v>2160</v>
      </c>
      <c r="M73" s="51">
        <v>2160</v>
      </c>
      <c r="N73" s="51">
        <v>2160</v>
      </c>
      <c r="O73" s="51"/>
      <c r="P73" s="51"/>
      <c r="Q73" s="51"/>
      <c r="R73" s="51"/>
      <c r="S73" s="51"/>
      <c r="T73" s="51"/>
      <c r="U73" s="51"/>
      <c r="V73" s="51"/>
      <c r="W73" s="2">
        <f>SUM(Mod_CL[[#This Row],[Inv 1 (630kw) unit 1]:[Inv 3 (630kw) unit 4]])</f>
        <v>8640</v>
      </c>
      <c r="X73" s="51"/>
      <c r="Y73" s="51"/>
      <c r="Z73" s="51"/>
      <c r="AA73" s="51"/>
      <c r="AB73" s="51"/>
      <c r="AC73" s="51"/>
      <c r="AD73" s="51"/>
    </row>
    <row r="74" spans="1:30" x14ac:dyDescent="0.3">
      <c r="A74" s="51">
        <v>72</v>
      </c>
      <c r="B74" s="51">
        <f>YEAR(Mod_CL[[#This Row],[Date]])+IF(MONTH(Mod_CL[[#This Row],[Date]])&gt;=4,1,0)</f>
        <v>2026</v>
      </c>
      <c r="C74" s="51">
        <f>YEAR(Mod_CL[[#This Row],[Date]])</f>
        <v>2025</v>
      </c>
      <c r="D74" s="54" t="s">
        <v>1070</v>
      </c>
      <c r="E74" s="54" t="s">
        <v>1070</v>
      </c>
      <c r="F74" s="2" t="str">
        <f>TEXT(Mod_CL[[#This Row],[Date]],"mmm-yy")</f>
        <v>Jun-25</v>
      </c>
      <c r="G74" s="2">
        <f>DAY(EOMONTH(Mod_CL[[#This Row],[Month Year]],0))</f>
        <v>30</v>
      </c>
      <c r="H74" s="95">
        <f t="shared" si="2"/>
        <v>45816</v>
      </c>
      <c r="I74" s="51">
        <v>3</v>
      </c>
      <c r="J74" s="51">
        <v>2</v>
      </c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2">
        <f>SUM(Mod_CL[[#This Row],[Inv 1 (630kw) unit 1]:[Inv 3 (630kw) unit 4]])</f>
        <v>0</v>
      </c>
      <c r="X74" s="51"/>
      <c r="Y74" s="51"/>
      <c r="Z74" s="51"/>
      <c r="AA74" s="51"/>
      <c r="AB74" s="51"/>
      <c r="AC74" s="51"/>
      <c r="AD74" s="51" t="s">
        <v>1040</v>
      </c>
    </row>
    <row r="75" spans="1:30" x14ac:dyDescent="0.3">
      <c r="A75" s="51">
        <v>73</v>
      </c>
      <c r="B75" s="51">
        <f>YEAR(Mod_CL[[#This Row],[Date]])+IF(MONTH(Mod_CL[[#This Row],[Date]])&gt;=4,1,0)</f>
        <v>2026</v>
      </c>
      <c r="C75" s="51">
        <f>YEAR(Mod_CL[[#This Row],[Date]])</f>
        <v>2025</v>
      </c>
      <c r="D75" s="54" t="s">
        <v>1070</v>
      </c>
      <c r="E75" s="54" t="s">
        <v>1070</v>
      </c>
      <c r="F75" s="2" t="str">
        <f>TEXT(Mod_CL[[#This Row],[Date]],"mmm-yy")</f>
        <v>Jun-25</v>
      </c>
      <c r="G75" s="2">
        <f>DAY(EOMONTH(Mod_CL[[#This Row],[Month Year]],0))</f>
        <v>30</v>
      </c>
      <c r="H75" s="95">
        <f t="shared" si="2"/>
        <v>45817</v>
      </c>
      <c r="I75" s="51">
        <v>3</v>
      </c>
      <c r="J75" s="51">
        <v>2</v>
      </c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2">
        <f>SUM(Mod_CL[[#This Row],[Inv 1 (630kw) unit 1]:[Inv 3 (630kw) unit 4]])</f>
        <v>0</v>
      </c>
      <c r="X75" s="51"/>
      <c r="Y75" s="51"/>
      <c r="Z75" s="51"/>
      <c r="AA75" s="51"/>
      <c r="AB75" s="51"/>
      <c r="AC75" s="51"/>
      <c r="AD75" s="51" t="s">
        <v>1183</v>
      </c>
    </row>
    <row r="76" spans="1:30" x14ac:dyDescent="0.3">
      <c r="A76" s="51">
        <v>74</v>
      </c>
      <c r="B76" s="51">
        <f>YEAR(Mod_CL[[#This Row],[Date]])+IF(MONTH(Mod_CL[[#This Row],[Date]])&gt;=4,1,0)</f>
        <v>2026</v>
      </c>
      <c r="C76" s="51">
        <f>YEAR(Mod_CL[[#This Row],[Date]])</f>
        <v>2025</v>
      </c>
      <c r="D76" s="54" t="s">
        <v>1070</v>
      </c>
      <c r="E76" s="54" t="s">
        <v>1070</v>
      </c>
      <c r="F76" s="2" t="str">
        <f>TEXT(Mod_CL[[#This Row],[Date]],"mmm-yy")</f>
        <v>Jun-25</v>
      </c>
      <c r="G76" s="2">
        <f>DAY(EOMONTH(Mod_CL[[#This Row],[Month Year]],0))</f>
        <v>30</v>
      </c>
      <c r="H76" s="95">
        <f t="shared" si="2"/>
        <v>45818</v>
      </c>
      <c r="I76" s="51">
        <v>3</v>
      </c>
      <c r="J76" s="51">
        <v>2</v>
      </c>
      <c r="K76" s="51"/>
      <c r="L76" s="51"/>
      <c r="M76" s="51"/>
      <c r="N76" s="51"/>
      <c r="O76" s="51">
        <v>2160</v>
      </c>
      <c r="P76" s="51">
        <v>2160</v>
      </c>
      <c r="Q76" s="51">
        <v>2160</v>
      </c>
      <c r="R76" s="51">
        <v>2160</v>
      </c>
      <c r="S76" s="51"/>
      <c r="T76" s="51"/>
      <c r="U76" s="51"/>
      <c r="V76" s="51"/>
      <c r="W76" s="2">
        <f>SUM(Mod_CL[[#This Row],[Inv 1 (630kw) unit 1]:[Inv 3 (630kw) unit 4]])</f>
        <v>8640</v>
      </c>
      <c r="X76" s="51"/>
      <c r="Y76" s="51"/>
      <c r="Z76" s="51"/>
      <c r="AA76" s="51"/>
      <c r="AB76" s="51"/>
      <c r="AC76" s="51"/>
      <c r="AD76" s="51"/>
    </row>
    <row r="77" spans="1:30" x14ac:dyDescent="0.3">
      <c r="A77" s="51">
        <v>76</v>
      </c>
      <c r="B77" s="51">
        <f>YEAR(Mod_CL[[#This Row],[Date]])+IF(MONTH(Mod_CL[[#This Row],[Date]])&gt;=4,1,0)</f>
        <v>2026</v>
      </c>
      <c r="C77" s="51">
        <f>YEAR(Mod_CL[[#This Row],[Date]])</f>
        <v>2025</v>
      </c>
      <c r="D77" s="54" t="s">
        <v>1070</v>
      </c>
      <c r="E77" s="54" t="s">
        <v>1070</v>
      </c>
      <c r="F77" s="2" t="str">
        <f>TEXT(Mod_CL[[#This Row],[Date]],"mmm-yy")</f>
        <v>Jun-25</v>
      </c>
      <c r="G77" s="2">
        <f>DAY(EOMONTH(Mod_CL[[#This Row],[Month Year]],0))</f>
        <v>30</v>
      </c>
      <c r="H77" s="95">
        <f t="shared" si="2"/>
        <v>45819</v>
      </c>
      <c r="I77" s="51">
        <v>3</v>
      </c>
      <c r="J77" s="51">
        <v>2</v>
      </c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2">
        <f>SUM(Mod_CL[[#This Row],[Inv 1 (630kw) unit 1]:[Inv 3 (630kw) unit 4]])</f>
        <v>0</v>
      </c>
      <c r="X77" s="51"/>
      <c r="Y77" s="51"/>
      <c r="Z77" s="51"/>
      <c r="AA77" s="51"/>
      <c r="AB77" s="51"/>
      <c r="AC77" s="51"/>
      <c r="AD77" s="51"/>
    </row>
    <row r="78" spans="1:30" x14ac:dyDescent="0.3">
      <c r="A78" s="51">
        <v>77</v>
      </c>
      <c r="B78" s="51">
        <f>YEAR(Mod_CL[[#This Row],[Date]])+IF(MONTH(Mod_CL[[#This Row],[Date]])&gt;=4,1,0)</f>
        <v>2026</v>
      </c>
      <c r="C78" s="51">
        <f>YEAR(Mod_CL[[#This Row],[Date]])</f>
        <v>2025</v>
      </c>
      <c r="D78" s="54" t="s">
        <v>1070</v>
      </c>
      <c r="E78" s="54" t="s">
        <v>1070</v>
      </c>
      <c r="F78" s="2" t="str">
        <f>TEXT(Mod_CL[[#This Row],[Date]],"mmm-yy")</f>
        <v>Jun-25</v>
      </c>
      <c r="G78" s="2">
        <f>DAY(EOMONTH(Mod_CL[[#This Row],[Month Year]],0))</f>
        <v>30</v>
      </c>
      <c r="H78" s="95">
        <f t="shared" si="2"/>
        <v>45820</v>
      </c>
      <c r="I78" s="51">
        <v>3</v>
      </c>
      <c r="J78" s="51">
        <v>2</v>
      </c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2">
        <f>SUM(Mod_CL[[#This Row],[Inv 1 (630kw) unit 1]:[Inv 3 (630kw) unit 4]])</f>
        <v>0</v>
      </c>
      <c r="X78" s="51"/>
      <c r="Y78" s="51"/>
      <c r="Z78" s="51"/>
      <c r="AA78" s="51"/>
      <c r="AB78" s="51"/>
      <c r="AC78" s="51"/>
      <c r="AD78" s="51"/>
    </row>
    <row r="79" spans="1:30" x14ac:dyDescent="0.3">
      <c r="A79" s="51">
        <v>78</v>
      </c>
      <c r="B79" s="51">
        <f>YEAR(Mod_CL[[#This Row],[Date]])+IF(MONTH(Mod_CL[[#This Row],[Date]])&gt;=4,1,0)</f>
        <v>2026</v>
      </c>
      <c r="C79" s="51">
        <f>YEAR(Mod_CL[[#This Row],[Date]])</f>
        <v>2025</v>
      </c>
      <c r="D79" s="54" t="s">
        <v>1070</v>
      </c>
      <c r="E79" s="54" t="s">
        <v>1070</v>
      </c>
      <c r="F79" s="2" t="str">
        <f>TEXT(Mod_CL[[#This Row],[Date]],"mmm-yy")</f>
        <v>Jun-25</v>
      </c>
      <c r="G79" s="2">
        <f>DAY(EOMONTH(Mod_CL[[#This Row],[Month Year]],0))</f>
        <v>30</v>
      </c>
      <c r="H79" s="95">
        <f t="shared" si="2"/>
        <v>45821</v>
      </c>
      <c r="I79" s="51">
        <v>3</v>
      </c>
      <c r="J79" s="51">
        <v>2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2">
        <f>SUM(Mod_CL[[#This Row],[Inv 1 (630kw) unit 1]:[Inv 3 (630kw) unit 4]])</f>
        <v>0</v>
      </c>
      <c r="X79" s="51"/>
      <c r="Y79" s="51"/>
      <c r="Z79" s="51"/>
      <c r="AA79" s="51"/>
      <c r="AB79" s="51"/>
      <c r="AC79" s="51"/>
      <c r="AD79" s="51"/>
    </row>
    <row r="80" spans="1:30" x14ac:dyDescent="0.3">
      <c r="A80" s="51">
        <v>79</v>
      </c>
      <c r="B80" s="51">
        <f>YEAR(Mod_CL[[#This Row],[Date]])+IF(MONTH(Mod_CL[[#This Row],[Date]])&gt;=4,1,0)</f>
        <v>2026</v>
      </c>
      <c r="C80" s="51">
        <f>YEAR(Mod_CL[[#This Row],[Date]])</f>
        <v>2025</v>
      </c>
      <c r="D80" s="54" t="s">
        <v>1070</v>
      </c>
      <c r="E80" s="54" t="s">
        <v>1070</v>
      </c>
      <c r="F80" s="2" t="str">
        <f>TEXT(Mod_CL[[#This Row],[Date]],"mmm-yy")</f>
        <v>Jun-25</v>
      </c>
      <c r="G80" s="2">
        <f>DAY(EOMONTH(Mod_CL[[#This Row],[Month Year]],0))</f>
        <v>30</v>
      </c>
      <c r="H80" s="95">
        <f t="shared" si="2"/>
        <v>45822</v>
      </c>
      <c r="I80" s="51">
        <v>3</v>
      </c>
      <c r="J80" s="51">
        <v>2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2">
        <f>SUM(Mod_CL[[#This Row],[Inv 1 (630kw) unit 1]:[Inv 3 (630kw) unit 4]])</f>
        <v>0</v>
      </c>
      <c r="X80" s="51"/>
      <c r="Y80" s="51"/>
      <c r="Z80" s="51"/>
      <c r="AA80" s="51"/>
      <c r="AB80" s="51"/>
      <c r="AC80" s="51"/>
      <c r="AD80" s="51"/>
    </row>
    <row r="81" spans="1:30" x14ac:dyDescent="0.3">
      <c r="A81" s="51"/>
      <c r="B81" s="51"/>
      <c r="C81" s="51"/>
      <c r="D81" s="51"/>
      <c r="E81" s="51"/>
      <c r="H81" s="52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X81" s="51"/>
      <c r="Y81" s="51"/>
      <c r="Z81" s="51"/>
      <c r="AA81" s="51"/>
      <c r="AB81" s="51"/>
      <c r="AC81" s="51"/>
      <c r="AD81" s="51"/>
    </row>
    <row r="82" spans="1:30" x14ac:dyDescent="0.3">
      <c r="A82" s="51"/>
      <c r="B82" s="51"/>
      <c r="C82" s="51"/>
      <c r="D82" s="51"/>
      <c r="E82" s="51"/>
      <c r="H82" s="52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X82" s="51"/>
      <c r="Y82" s="51"/>
      <c r="Z82" s="51"/>
      <c r="AA82" s="51"/>
      <c r="AB82" s="51"/>
      <c r="AC82" s="51"/>
      <c r="AD82" s="51"/>
    </row>
    <row r="83" spans="1:30" x14ac:dyDescent="0.3">
      <c r="A83" s="51"/>
      <c r="B83" s="51"/>
      <c r="C83" s="51"/>
      <c r="D83" s="51"/>
      <c r="E83" s="51"/>
      <c r="H83" s="52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X83" s="51"/>
      <c r="Y83" s="51"/>
      <c r="Z83" s="51"/>
      <c r="AA83" s="51"/>
      <c r="AB83" s="51"/>
      <c r="AC83" s="51"/>
      <c r="AD83" s="51"/>
    </row>
    <row r="84" spans="1:30" x14ac:dyDescent="0.3">
      <c r="A84" s="51"/>
      <c r="B84" s="51"/>
      <c r="C84" s="51"/>
      <c r="D84" s="51"/>
      <c r="E84" s="51"/>
      <c r="H84" s="52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X84" s="51"/>
      <c r="Y84" s="51"/>
      <c r="Z84" s="51"/>
      <c r="AA84" s="51"/>
      <c r="AB84" s="51"/>
      <c r="AC84" s="51"/>
      <c r="AD84" s="51"/>
    </row>
    <row r="85" spans="1:30" x14ac:dyDescent="0.3">
      <c r="A85" s="51"/>
      <c r="B85" s="51"/>
      <c r="C85" s="51"/>
      <c r="D85" s="51"/>
      <c r="E85" s="51"/>
      <c r="H85" s="52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X85" s="51"/>
      <c r="Y85" s="51"/>
      <c r="Z85" s="51"/>
      <c r="AA85" s="51"/>
      <c r="AB85" s="51"/>
      <c r="AC85" s="51"/>
      <c r="AD85" s="51"/>
    </row>
    <row r="86" spans="1:30" x14ac:dyDescent="0.3">
      <c r="A86" s="51"/>
      <c r="B86" s="51"/>
      <c r="C86" s="51"/>
      <c r="D86" s="51"/>
      <c r="E86" s="51"/>
      <c r="H86" s="52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X86" s="51"/>
      <c r="Y86" s="51"/>
      <c r="Z86" s="51"/>
      <c r="AA86" s="51"/>
      <c r="AB86" s="51"/>
      <c r="AC86" s="51"/>
      <c r="AD86" s="51"/>
    </row>
    <row r="87" spans="1:30" x14ac:dyDescent="0.3">
      <c r="A87" s="51"/>
      <c r="B87" s="51"/>
      <c r="C87" s="51"/>
      <c r="D87" s="51"/>
      <c r="E87" s="51"/>
      <c r="H87" s="52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X87" s="51"/>
      <c r="Y87" s="51"/>
      <c r="Z87" s="51"/>
      <c r="AA87" s="51"/>
      <c r="AB87" s="51"/>
      <c r="AC87" s="51"/>
      <c r="AD87" s="51"/>
    </row>
    <row r="88" spans="1:30" x14ac:dyDescent="0.3">
      <c r="A88" s="51"/>
      <c r="B88" s="51"/>
      <c r="C88" s="51"/>
      <c r="D88" s="51"/>
      <c r="E88" s="51"/>
      <c r="H88" s="52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X88" s="51"/>
      <c r="Y88" s="51"/>
      <c r="Z88" s="51"/>
      <c r="AA88" s="51"/>
      <c r="AB88" s="51"/>
      <c r="AC88" s="51"/>
      <c r="AD88" s="51"/>
    </row>
    <row r="89" spans="1:30" x14ac:dyDescent="0.3">
      <c r="A89" s="51"/>
      <c r="B89" s="51"/>
      <c r="C89" s="51"/>
      <c r="D89" s="51"/>
      <c r="E89" s="51"/>
      <c r="H89" s="52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X89" s="51"/>
      <c r="Y89" s="51"/>
      <c r="Z89" s="51"/>
      <c r="AA89" s="51"/>
      <c r="AB89" s="51"/>
      <c r="AC89" s="51"/>
      <c r="AD89" s="51"/>
    </row>
    <row r="90" spans="1:30" x14ac:dyDescent="0.3">
      <c r="A90" s="51"/>
      <c r="B90" s="51"/>
      <c r="C90" s="51"/>
      <c r="D90" s="51"/>
      <c r="E90" s="51"/>
      <c r="H90" s="52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X90" s="51"/>
      <c r="Y90" s="51"/>
      <c r="Z90" s="51"/>
      <c r="AA90" s="51"/>
      <c r="AB90" s="51"/>
      <c r="AC90" s="51"/>
      <c r="AD90" s="51"/>
    </row>
    <row r="91" spans="1:30" x14ac:dyDescent="0.3">
      <c r="A91" s="51"/>
      <c r="B91" s="51"/>
      <c r="C91" s="51"/>
      <c r="D91" s="51"/>
      <c r="E91" s="51"/>
      <c r="H91" s="52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X91" s="51"/>
      <c r="Y91" s="51"/>
      <c r="Z91" s="51"/>
      <c r="AA91" s="51"/>
      <c r="AB91" s="51"/>
      <c r="AC91" s="51"/>
      <c r="AD91" s="51"/>
    </row>
    <row r="92" spans="1:30" x14ac:dyDescent="0.3">
      <c r="A92" s="51"/>
      <c r="B92" s="51"/>
      <c r="C92" s="51"/>
      <c r="D92" s="51"/>
      <c r="E92" s="51"/>
      <c r="H92" s="52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X92" s="51"/>
      <c r="Y92" s="51"/>
      <c r="Z92" s="51"/>
      <c r="AA92" s="51"/>
      <c r="AB92" s="51"/>
      <c r="AC92" s="51"/>
      <c r="AD92" s="51"/>
    </row>
    <row r="93" spans="1:30" x14ac:dyDescent="0.3">
      <c r="A93" s="51"/>
      <c r="B93" s="51"/>
      <c r="C93" s="51"/>
      <c r="D93" s="51"/>
      <c r="E93" s="51"/>
      <c r="H93" s="52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X93" s="51"/>
      <c r="Y93" s="51"/>
      <c r="Z93" s="51"/>
      <c r="AA93" s="51"/>
      <c r="AB93" s="51"/>
      <c r="AC93" s="51"/>
      <c r="AD93" s="51"/>
    </row>
    <row r="94" spans="1:30" x14ac:dyDescent="0.3">
      <c r="A94" s="51"/>
      <c r="B94" s="51"/>
      <c r="C94" s="51"/>
      <c r="D94" s="51"/>
      <c r="E94" s="51"/>
      <c r="H94" s="52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X94" s="51"/>
      <c r="Y94" s="51"/>
      <c r="Z94" s="51"/>
      <c r="AA94" s="51"/>
      <c r="AB94" s="51"/>
      <c r="AC94" s="51"/>
      <c r="AD94" s="51"/>
    </row>
    <row r="95" spans="1:30" x14ac:dyDescent="0.3">
      <c r="A95" s="51"/>
      <c r="B95" s="51"/>
      <c r="C95" s="51"/>
      <c r="D95" s="51"/>
      <c r="E95" s="51"/>
      <c r="H95" s="52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X95" s="51"/>
      <c r="Y95" s="51"/>
      <c r="Z95" s="51"/>
      <c r="AA95" s="51"/>
      <c r="AB95" s="51"/>
      <c r="AC95" s="51"/>
      <c r="AD95" s="51"/>
    </row>
    <row r="96" spans="1:30" x14ac:dyDescent="0.3">
      <c r="A96" s="51"/>
      <c r="B96" s="51"/>
      <c r="C96" s="51"/>
      <c r="D96" s="51"/>
      <c r="E96" s="51"/>
      <c r="H96" s="52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X96" s="51"/>
      <c r="Y96" s="51"/>
      <c r="Z96" s="51"/>
      <c r="AA96" s="51"/>
      <c r="AB96" s="51"/>
      <c r="AC96" s="51"/>
      <c r="AD96" s="51"/>
    </row>
    <row r="97" spans="1:30" x14ac:dyDescent="0.3">
      <c r="A97" s="51"/>
      <c r="B97" s="51"/>
      <c r="C97" s="51"/>
      <c r="D97" s="51"/>
      <c r="E97" s="51"/>
      <c r="H97" s="52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X97" s="51"/>
      <c r="Y97" s="51"/>
      <c r="Z97" s="51"/>
      <c r="AA97" s="51"/>
      <c r="AB97" s="51"/>
      <c r="AC97" s="51"/>
      <c r="AD97" s="51"/>
    </row>
    <row r="98" spans="1:30" x14ac:dyDescent="0.3">
      <c r="A98" s="51"/>
      <c r="B98" s="51"/>
      <c r="C98" s="51"/>
      <c r="D98" s="51"/>
      <c r="E98" s="51"/>
      <c r="H98" s="52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X98" s="51"/>
      <c r="Y98" s="51"/>
      <c r="Z98" s="51"/>
      <c r="AA98" s="51"/>
      <c r="AB98" s="51"/>
      <c r="AC98" s="51"/>
      <c r="AD98" s="51"/>
    </row>
    <row r="99" spans="1:30" x14ac:dyDescent="0.3">
      <c r="A99" s="51"/>
      <c r="B99" s="51"/>
      <c r="C99" s="51"/>
      <c r="D99" s="51"/>
      <c r="E99" s="51"/>
      <c r="H99" s="52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X99" s="51"/>
      <c r="Y99" s="51"/>
      <c r="Z99" s="51"/>
      <c r="AA99" s="51"/>
      <c r="AB99" s="51"/>
      <c r="AC99" s="51"/>
      <c r="AD99" s="51"/>
    </row>
    <row r="100" spans="1:30" x14ac:dyDescent="0.3">
      <c r="A100" s="51"/>
      <c r="B100" s="51"/>
      <c r="C100" s="51"/>
      <c r="D100" s="51"/>
      <c r="E100" s="51"/>
      <c r="H100" s="52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X100" s="51"/>
      <c r="Y100" s="51"/>
      <c r="Z100" s="51"/>
      <c r="AA100" s="51"/>
      <c r="AB100" s="51"/>
      <c r="AC100" s="51"/>
      <c r="AD100" s="51"/>
    </row>
    <row r="101" spans="1:30" x14ac:dyDescent="0.3">
      <c r="A101" s="51"/>
      <c r="B101" s="51"/>
      <c r="C101" s="51"/>
      <c r="D101" s="51"/>
      <c r="E101" s="51"/>
      <c r="H101" s="52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X101" s="51"/>
      <c r="Y101" s="51"/>
      <c r="Z101" s="51"/>
      <c r="AA101" s="51"/>
      <c r="AB101" s="51"/>
      <c r="AC101" s="51"/>
      <c r="AD101" s="51"/>
    </row>
    <row r="102" spans="1:30" x14ac:dyDescent="0.3">
      <c r="A102" s="51"/>
      <c r="B102" s="51"/>
      <c r="C102" s="51"/>
      <c r="D102" s="51"/>
      <c r="E102" s="51"/>
      <c r="H102" s="52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X102" s="51"/>
      <c r="Y102" s="51"/>
      <c r="Z102" s="51"/>
      <c r="AA102" s="51"/>
      <c r="AB102" s="51"/>
      <c r="AC102" s="51"/>
      <c r="AD102" s="51"/>
    </row>
    <row r="103" spans="1:30" x14ac:dyDescent="0.3">
      <c r="A103" s="51"/>
      <c r="B103" s="51"/>
      <c r="C103" s="51"/>
      <c r="D103" s="51"/>
      <c r="E103" s="51"/>
      <c r="H103" s="52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X103" s="51"/>
      <c r="Y103" s="51"/>
      <c r="Z103" s="51"/>
      <c r="AA103" s="51"/>
      <c r="AB103" s="51"/>
      <c r="AC103" s="51"/>
      <c r="AD103" s="51"/>
    </row>
    <row r="104" spans="1:30" x14ac:dyDescent="0.3">
      <c r="A104" s="51"/>
      <c r="B104" s="51"/>
      <c r="C104" s="51"/>
      <c r="D104" s="51"/>
      <c r="E104" s="51"/>
      <c r="H104" s="52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X104" s="51"/>
      <c r="Y104" s="51"/>
      <c r="Z104" s="51"/>
      <c r="AA104" s="51"/>
      <c r="AB104" s="51"/>
      <c r="AC104" s="51"/>
      <c r="AD104" s="51"/>
    </row>
    <row r="105" spans="1:30" x14ac:dyDescent="0.3">
      <c r="A105" s="51"/>
      <c r="B105" s="51"/>
      <c r="C105" s="51"/>
      <c r="D105" s="51"/>
      <c r="E105" s="51"/>
      <c r="H105" s="52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X105" s="51"/>
      <c r="Y105" s="51"/>
      <c r="Z105" s="51"/>
      <c r="AA105" s="51"/>
      <c r="AB105" s="51"/>
      <c r="AC105" s="51"/>
      <c r="AD105" s="51"/>
    </row>
    <row r="106" spans="1:30" x14ac:dyDescent="0.3">
      <c r="A106" s="51"/>
      <c r="B106" s="51"/>
      <c r="C106" s="51"/>
      <c r="D106" s="51"/>
      <c r="E106" s="51"/>
      <c r="H106" s="52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X106" s="51"/>
      <c r="Y106" s="51"/>
      <c r="Z106" s="51"/>
      <c r="AA106" s="51"/>
      <c r="AB106" s="51"/>
      <c r="AC106" s="51"/>
      <c r="AD106" s="51"/>
    </row>
    <row r="107" spans="1:30" x14ac:dyDescent="0.3">
      <c r="A107" s="51"/>
      <c r="B107" s="51"/>
      <c r="C107" s="51"/>
      <c r="D107" s="51"/>
      <c r="E107" s="51"/>
      <c r="H107" s="52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X107" s="51"/>
      <c r="Y107" s="51"/>
      <c r="Z107" s="51"/>
      <c r="AA107" s="51"/>
      <c r="AB107" s="51"/>
      <c r="AC107" s="51"/>
      <c r="AD107" s="51"/>
    </row>
    <row r="108" spans="1:30" x14ac:dyDescent="0.3">
      <c r="A108" s="51"/>
      <c r="B108" s="51"/>
      <c r="C108" s="51"/>
      <c r="D108" s="51"/>
      <c r="E108" s="51"/>
      <c r="H108" s="52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X108" s="51"/>
      <c r="Y108" s="51"/>
      <c r="Z108" s="51"/>
      <c r="AA108" s="51"/>
      <c r="AB108" s="51"/>
      <c r="AC108" s="51"/>
      <c r="AD108" s="51"/>
    </row>
    <row r="109" spans="1:30" x14ac:dyDescent="0.3">
      <c r="A109" s="51"/>
      <c r="B109" s="51"/>
      <c r="C109" s="51"/>
      <c r="D109" s="51"/>
      <c r="E109" s="51"/>
      <c r="H109" s="52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X109" s="51"/>
      <c r="Y109" s="51"/>
      <c r="Z109" s="51"/>
      <c r="AA109" s="51"/>
      <c r="AB109" s="51"/>
      <c r="AC109" s="51"/>
      <c r="AD109" s="51"/>
    </row>
    <row r="110" spans="1:30" x14ac:dyDescent="0.3">
      <c r="A110" s="51"/>
      <c r="B110" s="51"/>
      <c r="C110" s="51"/>
      <c r="D110" s="51"/>
      <c r="E110" s="51"/>
      <c r="H110" s="52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X110" s="51"/>
      <c r="Y110" s="51"/>
      <c r="Z110" s="51"/>
      <c r="AA110" s="51"/>
      <c r="AB110" s="51"/>
      <c r="AC110" s="51"/>
      <c r="AD110" s="51"/>
    </row>
    <row r="111" spans="1:30" x14ac:dyDescent="0.3">
      <c r="A111" s="51"/>
      <c r="B111" s="51"/>
      <c r="C111" s="51"/>
      <c r="D111" s="51"/>
      <c r="E111" s="51"/>
      <c r="H111" s="52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X111" s="51"/>
      <c r="Y111" s="51"/>
      <c r="Z111" s="51"/>
      <c r="AA111" s="51"/>
      <c r="AB111" s="51"/>
      <c r="AC111" s="51"/>
      <c r="AD111" s="51"/>
    </row>
    <row r="112" spans="1:30" x14ac:dyDescent="0.3">
      <c r="A112" s="51"/>
      <c r="B112" s="51"/>
      <c r="C112" s="51"/>
      <c r="D112" s="51"/>
      <c r="E112" s="51"/>
      <c r="H112" s="52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X112" s="51"/>
      <c r="Y112" s="51"/>
      <c r="Z112" s="51"/>
      <c r="AA112" s="51"/>
      <c r="AB112" s="51"/>
      <c r="AC112" s="51"/>
      <c r="AD112" s="51"/>
    </row>
    <row r="113" spans="1:30" x14ac:dyDescent="0.3">
      <c r="A113" s="51"/>
      <c r="B113" s="51"/>
      <c r="C113" s="51"/>
      <c r="D113" s="51"/>
      <c r="E113" s="51"/>
      <c r="H113" s="52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X113" s="51"/>
      <c r="Y113" s="51"/>
      <c r="Z113" s="51"/>
      <c r="AA113" s="51"/>
      <c r="AB113" s="51"/>
      <c r="AC113" s="51"/>
      <c r="AD113" s="51"/>
    </row>
    <row r="114" spans="1:30" x14ac:dyDescent="0.3">
      <c r="A114" s="51"/>
      <c r="B114" s="51"/>
      <c r="C114" s="51"/>
      <c r="D114" s="51"/>
      <c r="E114" s="51"/>
      <c r="H114" s="52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X114" s="51"/>
      <c r="Y114" s="51"/>
      <c r="Z114" s="51"/>
      <c r="AA114" s="51"/>
      <c r="AB114" s="51"/>
      <c r="AC114" s="51"/>
      <c r="AD114" s="51"/>
    </row>
    <row r="115" spans="1:30" x14ac:dyDescent="0.3">
      <c r="A115" s="51"/>
      <c r="B115" s="51"/>
      <c r="C115" s="51"/>
      <c r="D115" s="51"/>
      <c r="E115" s="51"/>
      <c r="H115" s="52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X115" s="51"/>
      <c r="Y115" s="51"/>
      <c r="Z115" s="51"/>
      <c r="AA115" s="51"/>
      <c r="AB115" s="51"/>
      <c r="AC115" s="51"/>
      <c r="AD115" s="51"/>
    </row>
    <row r="116" spans="1:30" x14ac:dyDescent="0.3">
      <c r="A116" s="51"/>
      <c r="B116" s="51"/>
      <c r="C116" s="51"/>
      <c r="D116" s="51"/>
      <c r="E116" s="51"/>
      <c r="H116" s="52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X116" s="51"/>
      <c r="Y116" s="51"/>
      <c r="Z116" s="51"/>
      <c r="AA116" s="51"/>
      <c r="AB116" s="51"/>
      <c r="AC116" s="51"/>
      <c r="AD116" s="51"/>
    </row>
    <row r="117" spans="1:30" x14ac:dyDescent="0.3">
      <c r="A117" s="51"/>
      <c r="B117" s="51"/>
      <c r="C117" s="51"/>
      <c r="D117" s="51"/>
      <c r="E117" s="51"/>
      <c r="H117" s="52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X117" s="51"/>
      <c r="Y117" s="51"/>
      <c r="Z117" s="51"/>
      <c r="AA117" s="51"/>
      <c r="AB117" s="51"/>
      <c r="AC117" s="51"/>
      <c r="AD117" s="51"/>
    </row>
    <row r="118" spans="1:30" x14ac:dyDescent="0.3">
      <c r="A118" s="51"/>
      <c r="B118" s="51"/>
      <c r="C118" s="51"/>
      <c r="D118" s="51"/>
      <c r="E118" s="51"/>
      <c r="H118" s="52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X118" s="51"/>
      <c r="Y118" s="51"/>
      <c r="Z118" s="51"/>
      <c r="AA118" s="51"/>
      <c r="AB118" s="51"/>
      <c r="AC118" s="51"/>
      <c r="AD118" s="51"/>
    </row>
    <row r="119" spans="1:30" x14ac:dyDescent="0.3">
      <c r="A119" s="51"/>
      <c r="B119" s="51"/>
      <c r="C119" s="51"/>
      <c r="D119" s="51"/>
      <c r="E119" s="51"/>
      <c r="H119" s="52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X119" s="51"/>
      <c r="Y119" s="51"/>
      <c r="Z119" s="51"/>
      <c r="AA119" s="51"/>
      <c r="AB119" s="51"/>
      <c r="AC119" s="51"/>
      <c r="AD119" s="51"/>
    </row>
    <row r="120" spans="1:30" x14ac:dyDescent="0.3">
      <c r="A120" s="51"/>
      <c r="B120" s="51"/>
      <c r="C120" s="51"/>
      <c r="D120" s="51"/>
      <c r="E120" s="51"/>
      <c r="H120" s="52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X120" s="51"/>
      <c r="Y120" s="51"/>
      <c r="Z120" s="51"/>
      <c r="AA120" s="51"/>
      <c r="AB120" s="51"/>
      <c r="AC120" s="51"/>
      <c r="AD120" s="51"/>
    </row>
    <row r="121" spans="1:30" x14ac:dyDescent="0.3">
      <c r="A121" s="51"/>
      <c r="B121" s="51"/>
      <c r="C121" s="51"/>
      <c r="D121" s="51"/>
      <c r="E121" s="51"/>
      <c r="H121" s="52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X121" s="51"/>
      <c r="Y121" s="51"/>
      <c r="Z121" s="51"/>
      <c r="AA121" s="51"/>
      <c r="AB121" s="51"/>
      <c r="AC121" s="51"/>
      <c r="AD121" s="51"/>
    </row>
    <row r="122" spans="1:30" x14ac:dyDescent="0.3">
      <c r="A122" s="51"/>
      <c r="B122" s="51"/>
      <c r="C122" s="51"/>
      <c r="D122" s="51"/>
      <c r="E122" s="51"/>
      <c r="H122" s="52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X122" s="51"/>
      <c r="Y122" s="51"/>
      <c r="Z122" s="51"/>
      <c r="AA122" s="51"/>
      <c r="AB122" s="51"/>
      <c r="AC122" s="51"/>
      <c r="AD122" s="51"/>
    </row>
    <row r="123" spans="1:30" x14ac:dyDescent="0.3">
      <c r="A123" s="51"/>
      <c r="B123" s="51"/>
      <c r="C123" s="51"/>
      <c r="D123" s="51"/>
      <c r="E123" s="51"/>
      <c r="H123" s="52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X123" s="51"/>
      <c r="Y123" s="51"/>
      <c r="Z123" s="51"/>
      <c r="AA123" s="51"/>
      <c r="AB123" s="51"/>
      <c r="AC123" s="51"/>
      <c r="AD123" s="51"/>
    </row>
    <row r="124" spans="1:30" x14ac:dyDescent="0.3">
      <c r="A124" s="51"/>
      <c r="B124" s="51"/>
      <c r="C124" s="51"/>
      <c r="D124" s="51"/>
      <c r="E124" s="51"/>
      <c r="H124" s="52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X124" s="51"/>
      <c r="Y124" s="51"/>
      <c r="Z124" s="51"/>
      <c r="AA124" s="51"/>
      <c r="AB124" s="51"/>
      <c r="AC124" s="51"/>
      <c r="AD124" s="51"/>
    </row>
    <row r="125" spans="1:30" x14ac:dyDescent="0.3">
      <c r="A125" s="51"/>
      <c r="B125" s="51"/>
      <c r="C125" s="51"/>
      <c r="D125" s="51"/>
      <c r="E125" s="51"/>
      <c r="H125" s="52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X125" s="51"/>
      <c r="Y125" s="51"/>
      <c r="Z125" s="51"/>
      <c r="AA125" s="51"/>
      <c r="AB125" s="51"/>
      <c r="AC125" s="51"/>
      <c r="AD125" s="51"/>
    </row>
    <row r="126" spans="1:30" x14ac:dyDescent="0.3">
      <c r="A126" s="51"/>
      <c r="B126" s="51"/>
      <c r="C126" s="51"/>
      <c r="D126" s="51"/>
      <c r="E126" s="51"/>
      <c r="H126" s="52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X126" s="51"/>
      <c r="Y126" s="51"/>
      <c r="Z126" s="51"/>
      <c r="AA126" s="51"/>
      <c r="AB126" s="51"/>
      <c r="AC126" s="51"/>
      <c r="AD126" s="51"/>
    </row>
    <row r="127" spans="1:30" x14ac:dyDescent="0.3">
      <c r="A127" s="51"/>
      <c r="B127" s="51"/>
      <c r="C127" s="51"/>
      <c r="D127" s="51"/>
      <c r="E127" s="51"/>
      <c r="H127" s="52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X127" s="51"/>
      <c r="Y127" s="51"/>
      <c r="Z127" s="51"/>
      <c r="AA127" s="51"/>
      <c r="AB127" s="51"/>
      <c r="AC127" s="51"/>
      <c r="AD127" s="51"/>
    </row>
    <row r="128" spans="1:30" x14ac:dyDescent="0.3">
      <c r="A128" s="51"/>
      <c r="B128" s="51"/>
      <c r="C128" s="51"/>
      <c r="D128" s="51"/>
      <c r="E128" s="51"/>
      <c r="H128" s="52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X128" s="51"/>
      <c r="Y128" s="51"/>
      <c r="Z128" s="51"/>
      <c r="AA128" s="51"/>
      <c r="AB128" s="51"/>
      <c r="AC128" s="51"/>
      <c r="AD128" s="51"/>
    </row>
    <row r="129" spans="1:30" x14ac:dyDescent="0.3">
      <c r="A129" s="51"/>
      <c r="B129" s="51"/>
      <c r="C129" s="51"/>
      <c r="D129" s="51"/>
      <c r="E129" s="51"/>
      <c r="H129" s="52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X129" s="51"/>
      <c r="Y129" s="51"/>
      <c r="Z129" s="51"/>
      <c r="AA129" s="51"/>
      <c r="AB129" s="51"/>
      <c r="AC129" s="51"/>
      <c r="AD129" s="51"/>
    </row>
    <row r="130" spans="1:30" x14ac:dyDescent="0.3">
      <c r="A130" s="51"/>
      <c r="B130" s="51"/>
      <c r="C130" s="51"/>
      <c r="D130" s="51"/>
      <c r="E130" s="51"/>
      <c r="H130" s="52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X130" s="51"/>
      <c r="Y130" s="51"/>
      <c r="Z130" s="51"/>
      <c r="AA130" s="51"/>
      <c r="AB130" s="51"/>
      <c r="AC130" s="51"/>
      <c r="AD130" s="51"/>
    </row>
    <row r="131" spans="1:30" x14ac:dyDescent="0.3">
      <c r="A131" s="51"/>
      <c r="B131" s="51"/>
      <c r="C131" s="51"/>
      <c r="D131" s="51"/>
      <c r="E131" s="51"/>
      <c r="H131" s="52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X131" s="51"/>
      <c r="Y131" s="51"/>
      <c r="Z131" s="51"/>
      <c r="AA131" s="51"/>
      <c r="AB131" s="51"/>
      <c r="AC131" s="51"/>
      <c r="AD131" s="51"/>
    </row>
    <row r="132" spans="1:30" x14ac:dyDescent="0.3">
      <c r="A132" s="51"/>
      <c r="B132" s="51"/>
      <c r="C132" s="51"/>
      <c r="D132" s="51"/>
      <c r="E132" s="51"/>
      <c r="H132" s="52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X132" s="51"/>
      <c r="Y132" s="51"/>
      <c r="Z132" s="51"/>
      <c r="AA132" s="51"/>
      <c r="AB132" s="51"/>
      <c r="AC132" s="51"/>
      <c r="AD132" s="51"/>
    </row>
    <row r="133" spans="1:30" x14ac:dyDescent="0.3">
      <c r="A133" s="51"/>
      <c r="B133" s="51"/>
      <c r="C133" s="51"/>
      <c r="D133" s="51"/>
      <c r="E133" s="51"/>
      <c r="H133" s="52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X133" s="51"/>
      <c r="Y133" s="51"/>
      <c r="Z133" s="51"/>
      <c r="AA133" s="51"/>
      <c r="AB133" s="51"/>
      <c r="AC133" s="51"/>
      <c r="AD133" s="51"/>
    </row>
    <row r="134" spans="1:30" x14ac:dyDescent="0.3">
      <c r="A134" s="51"/>
      <c r="B134" s="51"/>
      <c r="C134" s="51"/>
      <c r="D134" s="51"/>
      <c r="E134" s="51"/>
      <c r="H134" s="52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X134" s="51"/>
      <c r="Y134" s="51"/>
      <c r="Z134" s="51"/>
      <c r="AA134" s="51"/>
      <c r="AB134" s="51"/>
      <c r="AC134" s="51"/>
      <c r="AD134" s="51"/>
    </row>
    <row r="135" spans="1:30" x14ac:dyDescent="0.3">
      <c r="A135" s="51"/>
      <c r="B135" s="51"/>
      <c r="C135" s="51"/>
      <c r="D135" s="51"/>
      <c r="E135" s="51"/>
      <c r="H135" s="52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X135" s="51"/>
      <c r="Y135" s="51"/>
      <c r="Z135" s="51"/>
      <c r="AA135" s="51"/>
      <c r="AB135" s="51"/>
      <c r="AC135" s="51"/>
      <c r="AD135" s="51"/>
    </row>
    <row r="136" spans="1:30" x14ac:dyDescent="0.3">
      <c r="A136" s="51"/>
      <c r="B136" s="51"/>
      <c r="C136" s="51"/>
      <c r="D136" s="51"/>
      <c r="E136" s="51"/>
      <c r="H136" s="52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X136" s="51"/>
      <c r="Y136" s="51"/>
      <c r="Z136" s="51"/>
      <c r="AA136" s="51"/>
      <c r="AB136" s="51"/>
      <c r="AC136" s="51"/>
      <c r="AD136" s="51"/>
    </row>
    <row r="137" spans="1:30" x14ac:dyDescent="0.3">
      <c r="A137" s="51"/>
      <c r="B137" s="51"/>
      <c r="C137" s="51"/>
      <c r="D137" s="51"/>
      <c r="E137" s="51"/>
      <c r="H137" s="52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X137" s="51"/>
      <c r="Y137" s="51"/>
      <c r="Z137" s="51"/>
      <c r="AA137" s="51"/>
      <c r="AB137" s="51"/>
      <c r="AC137" s="51"/>
      <c r="AD137" s="51"/>
    </row>
    <row r="138" spans="1:30" x14ac:dyDescent="0.3">
      <c r="A138" s="51"/>
      <c r="B138" s="51"/>
      <c r="C138" s="51"/>
      <c r="D138" s="51"/>
      <c r="E138" s="51"/>
      <c r="H138" s="52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X138" s="51"/>
      <c r="Y138" s="51"/>
      <c r="Z138" s="51"/>
      <c r="AA138" s="51"/>
      <c r="AB138" s="51"/>
      <c r="AC138" s="51"/>
      <c r="AD138" s="51"/>
    </row>
    <row r="139" spans="1:30" x14ac:dyDescent="0.3">
      <c r="A139" s="51"/>
      <c r="B139" s="51"/>
      <c r="C139" s="51"/>
      <c r="D139" s="51"/>
      <c r="E139" s="51"/>
      <c r="H139" s="52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X139" s="51"/>
      <c r="Y139" s="51"/>
      <c r="Z139" s="51"/>
      <c r="AA139" s="51"/>
      <c r="AB139" s="51"/>
      <c r="AC139" s="51"/>
      <c r="AD139" s="51"/>
    </row>
    <row r="140" spans="1:30" x14ac:dyDescent="0.3">
      <c r="A140" s="51"/>
      <c r="B140" s="51"/>
      <c r="C140" s="51"/>
      <c r="D140" s="51"/>
      <c r="E140" s="51"/>
      <c r="H140" s="52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X140" s="51"/>
      <c r="Y140" s="51"/>
      <c r="Z140" s="51"/>
      <c r="AA140" s="51"/>
      <c r="AB140" s="51"/>
      <c r="AC140" s="51"/>
      <c r="AD140" s="51"/>
    </row>
    <row r="141" spans="1:30" x14ac:dyDescent="0.3">
      <c r="A141" s="51"/>
      <c r="B141" s="51"/>
      <c r="C141" s="51"/>
      <c r="D141" s="51"/>
      <c r="E141" s="51"/>
      <c r="H141" s="52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X141" s="51"/>
      <c r="Y141" s="51"/>
      <c r="Z141" s="51"/>
      <c r="AA141" s="51"/>
      <c r="AB141" s="51"/>
      <c r="AC141" s="51"/>
      <c r="AD141" s="51"/>
    </row>
    <row r="142" spans="1:30" x14ac:dyDescent="0.3">
      <c r="A142" s="51"/>
      <c r="B142" s="51"/>
      <c r="C142" s="51"/>
      <c r="D142" s="51"/>
      <c r="E142" s="51"/>
      <c r="H142" s="52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X142" s="51"/>
      <c r="Y142" s="51"/>
      <c r="Z142" s="51"/>
      <c r="AA142" s="51"/>
      <c r="AB142" s="51"/>
      <c r="AC142" s="51"/>
      <c r="AD142" s="51"/>
    </row>
    <row r="143" spans="1:30" x14ac:dyDescent="0.3">
      <c r="A143" s="51"/>
      <c r="B143" s="51"/>
      <c r="C143" s="51"/>
      <c r="D143" s="51"/>
      <c r="E143" s="51"/>
      <c r="H143" s="52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X143" s="51"/>
      <c r="Y143" s="51"/>
      <c r="Z143" s="51"/>
      <c r="AA143" s="51"/>
      <c r="AB143" s="51"/>
      <c r="AC143" s="51"/>
      <c r="AD143" s="51"/>
    </row>
    <row r="144" spans="1:30" x14ac:dyDescent="0.3">
      <c r="A144" s="51"/>
      <c r="B144" s="51"/>
      <c r="C144" s="51"/>
      <c r="D144" s="51"/>
      <c r="E144" s="51"/>
      <c r="H144" s="52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X144" s="51"/>
      <c r="Y144" s="51"/>
      <c r="Z144" s="51"/>
      <c r="AA144" s="51"/>
      <c r="AB144" s="51"/>
      <c r="AC144" s="51"/>
      <c r="AD144" s="51"/>
    </row>
    <row r="145" spans="1:30" x14ac:dyDescent="0.3">
      <c r="A145" s="51"/>
      <c r="B145" s="51"/>
      <c r="C145" s="51"/>
      <c r="D145" s="51"/>
      <c r="E145" s="51"/>
      <c r="H145" s="52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X145" s="51"/>
      <c r="Y145" s="51"/>
      <c r="Z145" s="51"/>
      <c r="AA145" s="51"/>
      <c r="AB145" s="51"/>
      <c r="AC145" s="51"/>
      <c r="AD145" s="51"/>
    </row>
    <row r="146" spans="1:30" x14ac:dyDescent="0.3">
      <c r="A146" s="51"/>
      <c r="B146" s="51"/>
      <c r="C146" s="51"/>
      <c r="D146" s="51"/>
      <c r="E146" s="51"/>
      <c r="H146" s="52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X146" s="51"/>
      <c r="Y146" s="51"/>
      <c r="Z146" s="51"/>
      <c r="AA146" s="51"/>
      <c r="AB146" s="51"/>
      <c r="AC146" s="51"/>
      <c r="AD146" s="51"/>
    </row>
    <row r="147" spans="1:30" x14ac:dyDescent="0.3">
      <c r="A147" s="51"/>
      <c r="B147" s="51"/>
      <c r="C147" s="51"/>
      <c r="D147" s="51"/>
      <c r="E147" s="51"/>
      <c r="H147" s="52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X147" s="51"/>
      <c r="Y147" s="51"/>
      <c r="Z147" s="51"/>
      <c r="AA147" s="51"/>
      <c r="AB147" s="51"/>
      <c r="AC147" s="51"/>
      <c r="AD147" s="51"/>
    </row>
    <row r="148" spans="1:30" x14ac:dyDescent="0.3">
      <c r="A148" s="51"/>
      <c r="B148" s="51"/>
      <c r="C148" s="51"/>
      <c r="D148" s="51"/>
      <c r="E148" s="51"/>
      <c r="H148" s="52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X148" s="51"/>
      <c r="Y148" s="51"/>
      <c r="Z148" s="51"/>
      <c r="AA148" s="51"/>
      <c r="AB148" s="51"/>
      <c r="AC148" s="51"/>
      <c r="AD148" s="51"/>
    </row>
    <row r="149" spans="1:30" x14ac:dyDescent="0.3">
      <c r="A149" s="51"/>
      <c r="B149" s="51"/>
      <c r="C149" s="51"/>
      <c r="D149" s="51"/>
      <c r="E149" s="51"/>
      <c r="H149" s="52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X149" s="51"/>
      <c r="Y149" s="51"/>
      <c r="Z149" s="51"/>
      <c r="AA149" s="51"/>
      <c r="AB149" s="51"/>
      <c r="AC149" s="51"/>
      <c r="AD149" s="51"/>
    </row>
    <row r="150" spans="1:30" x14ac:dyDescent="0.3">
      <c r="A150" s="51"/>
      <c r="B150" s="51"/>
      <c r="C150" s="51"/>
      <c r="D150" s="51"/>
      <c r="E150" s="51"/>
      <c r="H150" s="52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X150" s="51"/>
      <c r="Y150" s="51"/>
      <c r="Z150" s="51"/>
      <c r="AA150" s="51"/>
      <c r="AB150" s="51"/>
      <c r="AC150" s="51"/>
      <c r="AD150" s="51"/>
    </row>
    <row r="151" spans="1:30" x14ac:dyDescent="0.3">
      <c r="A151" s="51"/>
      <c r="B151" s="51"/>
      <c r="C151" s="51"/>
      <c r="D151" s="51"/>
      <c r="E151" s="51"/>
      <c r="H151" s="52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X151" s="51"/>
      <c r="Y151" s="51"/>
      <c r="Z151" s="51"/>
      <c r="AA151" s="51"/>
      <c r="AB151" s="51"/>
      <c r="AC151" s="51"/>
      <c r="AD151" s="51"/>
    </row>
    <row r="152" spans="1:30" x14ac:dyDescent="0.3">
      <c r="A152" s="51"/>
      <c r="B152" s="51"/>
      <c r="C152" s="51"/>
      <c r="D152" s="51"/>
      <c r="E152" s="51"/>
      <c r="H152" s="52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X152" s="51"/>
      <c r="Y152" s="51"/>
      <c r="Z152" s="51"/>
      <c r="AA152" s="51"/>
      <c r="AB152" s="51"/>
      <c r="AC152" s="51"/>
      <c r="AD152" s="51"/>
    </row>
    <row r="153" spans="1:30" x14ac:dyDescent="0.3">
      <c r="A153" s="51"/>
      <c r="B153" s="51"/>
      <c r="C153" s="51"/>
      <c r="D153" s="51"/>
      <c r="E153" s="51"/>
      <c r="H153" s="52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X153" s="51"/>
      <c r="Y153" s="51"/>
      <c r="Z153" s="51"/>
      <c r="AA153" s="51"/>
      <c r="AB153" s="51"/>
      <c r="AC153" s="51"/>
      <c r="AD153" s="51"/>
    </row>
    <row r="154" spans="1:30" x14ac:dyDescent="0.3">
      <c r="A154" s="51"/>
      <c r="B154" s="51"/>
      <c r="C154" s="51"/>
      <c r="D154" s="51"/>
      <c r="E154" s="51"/>
      <c r="H154" s="52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X154" s="51"/>
      <c r="Y154" s="51"/>
      <c r="Z154" s="51"/>
      <c r="AA154" s="51"/>
      <c r="AB154" s="51"/>
      <c r="AC154" s="51"/>
      <c r="AD154" s="51"/>
    </row>
    <row r="155" spans="1:30" x14ac:dyDescent="0.3">
      <c r="A155" s="51"/>
      <c r="B155" s="51"/>
      <c r="C155" s="51"/>
      <c r="D155" s="51"/>
      <c r="E155" s="51"/>
      <c r="H155" s="52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X155" s="51"/>
      <c r="Y155" s="51"/>
      <c r="Z155" s="51"/>
      <c r="AA155" s="51"/>
      <c r="AB155" s="51"/>
      <c r="AC155" s="51"/>
      <c r="AD155" s="51"/>
    </row>
    <row r="156" spans="1:30" x14ac:dyDescent="0.3">
      <c r="A156" s="51"/>
      <c r="B156" s="51"/>
      <c r="C156" s="51"/>
      <c r="D156" s="51"/>
      <c r="E156" s="51"/>
      <c r="H156" s="52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X156" s="51"/>
      <c r="Y156" s="51"/>
      <c r="Z156" s="51"/>
      <c r="AA156" s="51"/>
      <c r="AB156" s="51"/>
      <c r="AC156" s="51"/>
      <c r="AD156" s="51"/>
    </row>
    <row r="157" spans="1:30" x14ac:dyDescent="0.3">
      <c r="A157" s="51"/>
      <c r="B157" s="51"/>
      <c r="C157" s="51"/>
      <c r="D157" s="51"/>
      <c r="E157" s="51"/>
      <c r="H157" s="52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X157" s="51"/>
      <c r="Y157" s="51"/>
      <c r="Z157" s="51"/>
      <c r="AA157" s="51"/>
      <c r="AB157" s="51"/>
      <c r="AC157" s="51"/>
      <c r="AD157" s="51"/>
    </row>
    <row r="158" spans="1:30" x14ac:dyDescent="0.3">
      <c r="A158" s="51"/>
      <c r="B158" s="51"/>
      <c r="C158" s="51"/>
      <c r="D158" s="51"/>
      <c r="E158" s="51"/>
      <c r="H158" s="52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X158" s="51"/>
      <c r="Y158" s="51"/>
      <c r="Z158" s="51"/>
      <c r="AA158" s="51"/>
      <c r="AB158" s="51"/>
      <c r="AC158" s="51"/>
      <c r="AD158" s="51"/>
    </row>
    <row r="159" spans="1:30" x14ac:dyDescent="0.3">
      <c r="A159" s="51"/>
      <c r="B159" s="51"/>
      <c r="C159" s="51"/>
      <c r="D159" s="51"/>
      <c r="E159" s="51"/>
      <c r="H159" s="52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X159" s="51"/>
      <c r="Y159" s="51"/>
      <c r="Z159" s="51"/>
      <c r="AA159" s="51"/>
      <c r="AB159" s="51"/>
      <c r="AC159" s="51"/>
      <c r="AD159" s="51"/>
    </row>
    <row r="160" spans="1:30" x14ac:dyDescent="0.3">
      <c r="A160" s="51"/>
      <c r="B160" s="51"/>
      <c r="C160" s="51"/>
      <c r="D160" s="51"/>
      <c r="E160" s="51"/>
      <c r="H160" s="52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X160" s="51"/>
      <c r="Y160" s="51"/>
      <c r="Z160" s="51"/>
      <c r="AA160" s="51"/>
      <c r="AB160" s="51"/>
      <c r="AC160" s="51"/>
      <c r="AD160" s="51"/>
    </row>
    <row r="161" spans="1:30" x14ac:dyDescent="0.3">
      <c r="A161" s="51"/>
      <c r="B161" s="51"/>
      <c r="C161" s="51"/>
      <c r="D161" s="51"/>
      <c r="E161" s="51"/>
      <c r="H161" s="52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X161" s="51"/>
      <c r="Y161" s="51"/>
      <c r="Z161" s="51"/>
      <c r="AA161" s="51"/>
      <c r="AB161" s="51"/>
      <c r="AC161" s="51"/>
      <c r="AD161" s="51"/>
    </row>
    <row r="162" spans="1:30" x14ac:dyDescent="0.3">
      <c r="A162" s="51"/>
      <c r="B162" s="51"/>
      <c r="C162" s="51"/>
      <c r="D162" s="51"/>
      <c r="E162" s="51"/>
      <c r="H162" s="52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X162" s="51"/>
      <c r="Y162" s="51"/>
      <c r="Z162" s="51"/>
      <c r="AA162" s="51"/>
      <c r="AB162" s="51"/>
      <c r="AC162" s="51"/>
      <c r="AD162" s="51"/>
    </row>
    <row r="163" spans="1:30" x14ac:dyDescent="0.3">
      <c r="A163" s="51"/>
      <c r="B163" s="51"/>
      <c r="C163" s="51"/>
      <c r="D163" s="51"/>
      <c r="E163" s="51"/>
      <c r="H163" s="52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X163" s="51"/>
      <c r="Y163" s="51"/>
      <c r="Z163" s="51"/>
      <c r="AA163" s="51"/>
      <c r="AB163" s="51"/>
      <c r="AC163" s="51"/>
      <c r="AD163" s="51"/>
    </row>
    <row r="164" spans="1:30" x14ac:dyDescent="0.3">
      <c r="A164" s="51"/>
      <c r="B164" s="51"/>
      <c r="C164" s="51"/>
      <c r="D164" s="51"/>
      <c r="E164" s="51"/>
      <c r="H164" s="52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X164" s="51"/>
      <c r="Y164" s="51"/>
      <c r="Z164" s="51"/>
      <c r="AA164" s="51"/>
      <c r="AB164" s="51"/>
      <c r="AC164" s="51"/>
      <c r="AD164" s="51"/>
    </row>
    <row r="165" spans="1:30" x14ac:dyDescent="0.3">
      <c r="A165" s="51"/>
      <c r="B165" s="51"/>
      <c r="C165" s="51"/>
      <c r="D165" s="51"/>
      <c r="E165" s="51"/>
      <c r="H165" s="52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X165" s="51"/>
      <c r="Y165" s="51"/>
      <c r="Z165" s="51"/>
      <c r="AA165" s="51"/>
      <c r="AB165" s="51"/>
      <c r="AC165" s="51"/>
      <c r="AD165" s="51"/>
    </row>
    <row r="166" spans="1:30" x14ac:dyDescent="0.3">
      <c r="A166" s="51"/>
      <c r="B166" s="51"/>
      <c r="C166" s="51"/>
      <c r="D166" s="51"/>
      <c r="E166" s="51"/>
      <c r="H166" s="52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X166" s="51"/>
      <c r="Y166" s="51"/>
      <c r="Z166" s="51"/>
      <c r="AA166" s="51"/>
      <c r="AB166" s="51"/>
      <c r="AC166" s="51"/>
      <c r="AD166" s="51"/>
    </row>
    <row r="167" spans="1:30" x14ac:dyDescent="0.3">
      <c r="A167" s="51"/>
      <c r="B167" s="51"/>
      <c r="C167" s="51"/>
      <c r="D167" s="51"/>
      <c r="E167" s="51"/>
      <c r="H167" s="52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X167" s="51"/>
      <c r="Y167" s="51"/>
      <c r="Z167" s="51"/>
      <c r="AA167" s="51"/>
      <c r="AB167" s="51"/>
      <c r="AC167" s="51"/>
      <c r="AD167" s="51"/>
    </row>
    <row r="168" spans="1:30" x14ac:dyDescent="0.3">
      <c r="A168" s="51"/>
      <c r="B168" s="51"/>
      <c r="C168" s="51"/>
      <c r="D168" s="51"/>
      <c r="E168" s="51"/>
      <c r="H168" s="52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X168" s="51"/>
      <c r="Y168" s="51"/>
      <c r="Z168" s="51"/>
      <c r="AA168" s="51"/>
      <c r="AB168" s="51"/>
      <c r="AC168" s="51"/>
      <c r="AD168" s="51"/>
    </row>
    <row r="169" spans="1:30" x14ac:dyDescent="0.3">
      <c r="A169" s="51"/>
      <c r="B169" s="51"/>
      <c r="C169" s="51"/>
      <c r="D169" s="51"/>
      <c r="E169" s="51"/>
      <c r="H169" s="52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X169" s="51"/>
      <c r="Y169" s="51"/>
      <c r="Z169" s="51"/>
      <c r="AA169" s="51"/>
      <c r="AB169" s="51"/>
      <c r="AC169" s="51"/>
      <c r="AD169" s="51"/>
    </row>
    <row r="170" spans="1:30" x14ac:dyDescent="0.3">
      <c r="A170" s="51"/>
      <c r="B170" s="51"/>
      <c r="C170" s="51"/>
      <c r="D170" s="51"/>
      <c r="E170" s="51"/>
      <c r="H170" s="52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X170" s="51"/>
      <c r="Y170" s="51"/>
      <c r="Z170" s="51"/>
      <c r="AA170" s="51"/>
      <c r="AB170" s="51"/>
      <c r="AC170" s="51"/>
      <c r="AD170" s="51"/>
    </row>
    <row r="171" spans="1:30" x14ac:dyDescent="0.3">
      <c r="A171" s="51"/>
      <c r="B171" s="51"/>
      <c r="C171" s="51"/>
      <c r="D171" s="51"/>
      <c r="E171" s="51"/>
      <c r="H171" s="52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X171" s="51"/>
      <c r="Y171" s="51"/>
      <c r="Z171" s="51"/>
      <c r="AA171" s="51"/>
      <c r="AB171" s="51"/>
      <c r="AC171" s="51"/>
      <c r="AD171" s="51"/>
    </row>
    <row r="172" spans="1:30" x14ac:dyDescent="0.3">
      <c r="A172" s="51"/>
      <c r="B172" s="51"/>
      <c r="C172" s="51"/>
      <c r="D172" s="51"/>
      <c r="E172" s="51"/>
      <c r="H172" s="52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X172" s="51"/>
      <c r="Y172" s="51"/>
      <c r="Z172" s="51"/>
      <c r="AA172" s="51"/>
      <c r="AB172" s="51"/>
      <c r="AC172" s="51"/>
      <c r="AD172" s="51"/>
    </row>
    <row r="173" spans="1:30" x14ac:dyDescent="0.3">
      <c r="A173" s="51"/>
      <c r="B173" s="51"/>
      <c r="C173" s="51"/>
      <c r="D173" s="51"/>
      <c r="E173" s="51"/>
      <c r="H173" s="52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X173" s="51"/>
      <c r="Y173" s="51"/>
      <c r="Z173" s="51"/>
      <c r="AA173" s="51"/>
      <c r="AB173" s="51"/>
      <c r="AC173" s="51"/>
      <c r="AD173" s="51"/>
    </row>
    <row r="174" spans="1:30" x14ac:dyDescent="0.3">
      <c r="A174" s="51"/>
      <c r="B174" s="51"/>
      <c r="C174" s="51"/>
      <c r="D174" s="51"/>
      <c r="E174" s="51"/>
      <c r="H174" s="52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X174" s="51"/>
      <c r="Y174" s="51"/>
      <c r="Z174" s="51"/>
      <c r="AA174" s="51"/>
      <c r="AB174" s="51"/>
      <c r="AC174" s="51"/>
      <c r="AD174" s="51"/>
    </row>
    <row r="175" spans="1:30" x14ac:dyDescent="0.3">
      <c r="A175" s="51"/>
      <c r="B175" s="51"/>
      <c r="C175" s="51"/>
      <c r="D175" s="51"/>
      <c r="E175" s="51"/>
      <c r="H175" s="52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X175" s="51"/>
      <c r="Y175" s="51"/>
      <c r="Z175" s="51"/>
      <c r="AA175" s="51"/>
      <c r="AB175" s="51"/>
      <c r="AC175" s="51"/>
      <c r="AD175" s="51"/>
    </row>
    <row r="176" spans="1:30" x14ac:dyDescent="0.3">
      <c r="A176" s="51"/>
      <c r="B176" s="51"/>
      <c r="C176" s="51"/>
      <c r="D176" s="51"/>
      <c r="E176" s="51"/>
      <c r="H176" s="52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X176" s="51"/>
      <c r="Y176" s="51"/>
      <c r="Z176" s="51"/>
      <c r="AA176" s="51"/>
      <c r="AB176" s="51"/>
      <c r="AC176" s="51"/>
      <c r="AD176" s="51"/>
    </row>
    <row r="177" spans="1:30" x14ac:dyDescent="0.3">
      <c r="A177" s="51"/>
      <c r="B177" s="51"/>
      <c r="C177" s="51"/>
      <c r="D177" s="51"/>
      <c r="E177" s="51"/>
      <c r="H177" s="52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X177" s="51"/>
      <c r="Y177" s="51"/>
      <c r="Z177" s="51"/>
      <c r="AA177" s="51"/>
      <c r="AB177" s="51"/>
      <c r="AC177" s="51"/>
      <c r="AD177" s="51"/>
    </row>
    <row r="178" spans="1:30" x14ac:dyDescent="0.3">
      <c r="A178" s="51"/>
      <c r="B178" s="51"/>
      <c r="C178" s="51"/>
      <c r="D178" s="51"/>
      <c r="E178" s="51"/>
      <c r="H178" s="52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X178" s="51"/>
      <c r="Y178" s="51"/>
      <c r="Z178" s="51"/>
      <c r="AA178" s="51"/>
      <c r="AB178" s="51"/>
      <c r="AC178" s="51"/>
      <c r="AD178" s="51"/>
    </row>
    <row r="179" spans="1:30" x14ac:dyDescent="0.3">
      <c r="A179" s="51"/>
      <c r="B179" s="51"/>
      <c r="C179" s="51"/>
      <c r="D179" s="51"/>
      <c r="E179" s="51"/>
      <c r="H179" s="52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X179" s="51"/>
      <c r="Y179" s="51"/>
      <c r="Z179" s="51"/>
      <c r="AA179" s="51"/>
      <c r="AB179" s="51"/>
      <c r="AC179" s="51"/>
      <c r="AD179" s="51"/>
    </row>
    <row r="180" spans="1:30" x14ac:dyDescent="0.3">
      <c r="A180" s="51"/>
      <c r="B180" s="51"/>
      <c r="C180" s="51"/>
      <c r="D180" s="51"/>
      <c r="E180" s="51"/>
      <c r="H180" s="52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X180" s="51"/>
      <c r="Y180" s="51"/>
      <c r="Z180" s="51"/>
      <c r="AA180" s="51"/>
      <c r="AB180" s="51"/>
      <c r="AC180" s="51"/>
      <c r="AD180" s="51"/>
    </row>
    <row r="181" spans="1:30" x14ac:dyDescent="0.3">
      <c r="A181" s="51"/>
      <c r="B181" s="51"/>
      <c r="C181" s="51"/>
      <c r="D181" s="51"/>
      <c r="E181" s="51"/>
      <c r="H181" s="52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X181" s="51"/>
      <c r="Y181" s="51"/>
      <c r="Z181" s="51"/>
      <c r="AA181" s="51"/>
      <c r="AB181" s="51"/>
      <c r="AC181" s="51"/>
      <c r="AD181" s="51"/>
    </row>
    <row r="182" spans="1:30" x14ac:dyDescent="0.3">
      <c r="A182" s="51"/>
      <c r="B182" s="51"/>
      <c r="C182" s="51"/>
      <c r="D182" s="51"/>
      <c r="E182" s="51"/>
      <c r="H182" s="52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X182" s="51"/>
      <c r="Y182" s="51"/>
      <c r="Z182" s="51"/>
      <c r="AA182" s="51"/>
      <c r="AB182" s="51"/>
      <c r="AC182" s="51"/>
      <c r="AD182" s="51"/>
    </row>
    <row r="183" spans="1:30" x14ac:dyDescent="0.3">
      <c r="A183" s="51"/>
      <c r="B183" s="51"/>
      <c r="C183" s="51"/>
      <c r="D183" s="51"/>
      <c r="E183" s="51"/>
      <c r="H183" s="52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X183" s="51"/>
      <c r="Y183" s="51"/>
      <c r="Z183" s="51"/>
      <c r="AA183" s="51"/>
      <c r="AB183" s="51"/>
      <c r="AC183" s="51"/>
      <c r="AD183" s="51"/>
    </row>
    <row r="184" spans="1:30" x14ac:dyDescent="0.3">
      <c r="A184" s="51"/>
      <c r="B184" s="51"/>
      <c r="C184" s="51"/>
      <c r="D184" s="51"/>
      <c r="E184" s="51"/>
      <c r="H184" s="52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X184" s="51"/>
      <c r="Y184" s="51"/>
      <c r="Z184" s="51"/>
      <c r="AA184" s="51"/>
      <c r="AB184" s="51"/>
      <c r="AC184" s="51"/>
      <c r="AD184" s="51"/>
    </row>
    <row r="185" spans="1:30" x14ac:dyDescent="0.3">
      <c r="A185" s="51"/>
      <c r="B185" s="51"/>
      <c r="C185" s="51"/>
      <c r="D185" s="51"/>
      <c r="E185" s="51"/>
      <c r="H185" s="52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X185" s="51"/>
      <c r="Y185" s="51"/>
      <c r="Z185" s="51"/>
      <c r="AA185" s="51"/>
      <c r="AB185" s="51"/>
      <c r="AC185" s="51"/>
      <c r="AD185" s="51"/>
    </row>
    <row r="186" spans="1:30" x14ac:dyDescent="0.3">
      <c r="A186" s="51"/>
      <c r="B186" s="51"/>
      <c r="C186" s="51"/>
      <c r="D186" s="51"/>
      <c r="E186" s="51"/>
      <c r="H186" s="52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X186" s="51"/>
      <c r="Y186" s="51"/>
      <c r="Z186" s="51"/>
      <c r="AA186" s="51"/>
      <c r="AB186" s="51"/>
      <c r="AC186" s="51"/>
      <c r="AD186" s="51"/>
    </row>
    <row r="187" spans="1:30" x14ac:dyDescent="0.3">
      <c r="A187" s="51"/>
      <c r="B187" s="51"/>
      <c r="C187" s="51"/>
      <c r="D187" s="51"/>
      <c r="E187" s="51"/>
      <c r="H187" s="52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X187" s="51"/>
      <c r="Y187" s="51"/>
      <c r="Z187" s="51"/>
      <c r="AA187" s="51"/>
      <c r="AB187" s="51"/>
      <c r="AC187" s="51"/>
      <c r="AD187" s="51"/>
    </row>
    <row r="188" spans="1:30" x14ac:dyDescent="0.3">
      <c r="A188" s="51"/>
      <c r="B188" s="51"/>
      <c r="C188" s="51"/>
      <c r="D188" s="51"/>
      <c r="E188" s="51"/>
      <c r="H188" s="52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X188" s="51"/>
      <c r="Y188" s="51"/>
      <c r="Z188" s="51"/>
      <c r="AA188" s="51"/>
      <c r="AB188" s="51"/>
      <c r="AC188" s="51"/>
      <c r="AD188" s="51"/>
    </row>
    <row r="189" spans="1:30" x14ac:dyDescent="0.3">
      <c r="A189" s="51"/>
      <c r="B189" s="51"/>
      <c r="C189" s="51"/>
      <c r="D189" s="51"/>
      <c r="E189" s="51"/>
      <c r="H189" s="52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X189" s="51"/>
      <c r="Y189" s="51"/>
      <c r="Z189" s="51"/>
      <c r="AA189" s="51"/>
      <c r="AB189" s="51"/>
      <c r="AC189" s="51"/>
      <c r="AD189" s="51"/>
    </row>
    <row r="190" spans="1:30" x14ac:dyDescent="0.3">
      <c r="A190" s="51"/>
      <c r="B190" s="51"/>
      <c r="C190" s="51"/>
      <c r="D190" s="51"/>
      <c r="E190" s="51"/>
      <c r="H190" s="52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X190" s="51"/>
      <c r="Y190" s="51"/>
      <c r="Z190" s="51"/>
      <c r="AA190" s="51"/>
      <c r="AB190" s="51"/>
      <c r="AC190" s="51"/>
      <c r="AD190" s="51"/>
    </row>
    <row r="191" spans="1:30" x14ac:dyDescent="0.3">
      <c r="A191" s="51"/>
      <c r="B191" s="51"/>
      <c r="C191" s="51"/>
      <c r="D191" s="51"/>
      <c r="E191" s="51"/>
      <c r="H191" s="52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X191" s="51"/>
      <c r="Y191" s="51"/>
      <c r="Z191" s="51"/>
      <c r="AA191" s="51"/>
      <c r="AB191" s="51"/>
      <c r="AC191" s="51"/>
      <c r="AD191" s="51"/>
    </row>
    <row r="192" spans="1:30" x14ac:dyDescent="0.3">
      <c r="A192" s="51"/>
      <c r="B192" s="51"/>
      <c r="C192" s="51"/>
      <c r="D192" s="51"/>
      <c r="E192" s="51"/>
      <c r="H192" s="52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X192" s="51"/>
      <c r="Y192" s="51"/>
      <c r="Z192" s="51"/>
      <c r="AA192" s="51"/>
      <c r="AB192" s="51"/>
      <c r="AC192" s="51"/>
      <c r="AD192" s="51"/>
    </row>
    <row r="193" spans="1:30" x14ac:dyDescent="0.3">
      <c r="A193" s="51"/>
      <c r="B193" s="51"/>
      <c r="C193" s="51"/>
      <c r="D193" s="51"/>
      <c r="E193" s="51"/>
      <c r="H193" s="52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X193" s="51"/>
      <c r="Y193" s="51"/>
      <c r="Z193" s="51"/>
      <c r="AA193" s="51"/>
      <c r="AB193" s="51"/>
      <c r="AC193" s="51"/>
      <c r="AD193" s="51"/>
    </row>
    <row r="194" spans="1:30" x14ac:dyDescent="0.3">
      <c r="A194" s="51"/>
      <c r="B194" s="51"/>
      <c r="C194" s="51"/>
      <c r="D194" s="51"/>
      <c r="E194" s="51"/>
      <c r="H194" s="52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X194" s="51"/>
      <c r="Y194" s="51"/>
      <c r="Z194" s="51"/>
      <c r="AA194" s="51"/>
      <c r="AB194" s="51"/>
      <c r="AC194" s="51"/>
      <c r="AD194" s="51"/>
    </row>
    <row r="195" spans="1:30" x14ac:dyDescent="0.3">
      <c r="A195" s="51"/>
      <c r="B195" s="51"/>
      <c r="C195" s="51"/>
      <c r="D195" s="51"/>
      <c r="E195" s="51"/>
      <c r="H195" s="52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X195" s="51"/>
      <c r="Y195" s="51"/>
      <c r="Z195" s="51"/>
      <c r="AA195" s="51"/>
      <c r="AB195" s="51"/>
      <c r="AC195" s="51"/>
      <c r="AD195" s="51"/>
    </row>
    <row r="196" spans="1:30" x14ac:dyDescent="0.3">
      <c r="A196" s="51"/>
      <c r="B196" s="51"/>
      <c r="C196" s="51"/>
      <c r="D196" s="51"/>
      <c r="E196" s="51"/>
      <c r="H196" s="52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X196" s="51"/>
      <c r="Y196" s="51"/>
      <c r="Z196" s="51"/>
      <c r="AA196" s="51"/>
      <c r="AB196" s="51"/>
      <c r="AC196" s="51"/>
      <c r="AD196" s="51"/>
    </row>
    <row r="197" spans="1:30" x14ac:dyDescent="0.3">
      <c r="A197" s="51"/>
      <c r="B197" s="51"/>
      <c r="C197" s="51"/>
      <c r="D197" s="51"/>
      <c r="E197" s="51"/>
      <c r="H197" s="52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X197" s="51"/>
      <c r="Y197" s="51"/>
      <c r="Z197" s="51"/>
      <c r="AA197" s="51"/>
      <c r="AB197" s="51"/>
      <c r="AC197" s="51"/>
      <c r="AD197" s="51"/>
    </row>
    <row r="198" spans="1:30" x14ac:dyDescent="0.3">
      <c r="A198" s="51"/>
      <c r="B198" s="51"/>
      <c r="C198" s="51"/>
      <c r="D198" s="51"/>
      <c r="E198" s="51"/>
      <c r="H198" s="52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X198" s="51"/>
      <c r="Y198" s="51"/>
      <c r="Z198" s="51"/>
      <c r="AA198" s="51"/>
      <c r="AB198" s="51"/>
      <c r="AC198" s="51"/>
      <c r="AD198" s="51"/>
    </row>
    <row r="199" spans="1:30" x14ac:dyDescent="0.3">
      <c r="A199" s="51"/>
      <c r="B199" s="51"/>
      <c r="C199" s="51"/>
      <c r="D199" s="51"/>
      <c r="E199" s="51"/>
      <c r="H199" s="52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X199" s="51"/>
      <c r="Y199" s="51"/>
      <c r="Z199" s="51"/>
      <c r="AA199" s="51"/>
      <c r="AB199" s="51"/>
      <c r="AC199" s="51"/>
      <c r="AD199" s="51"/>
    </row>
    <row r="200" spans="1:30" x14ac:dyDescent="0.3">
      <c r="A200" s="51"/>
      <c r="B200" s="51"/>
      <c r="C200" s="51"/>
      <c r="D200" s="51"/>
      <c r="E200" s="51"/>
      <c r="H200" s="52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X200" s="51"/>
      <c r="Y200" s="51"/>
      <c r="Z200" s="51"/>
      <c r="AA200" s="51"/>
      <c r="AB200" s="51"/>
      <c r="AC200" s="51"/>
      <c r="AD200" s="51"/>
    </row>
    <row r="201" spans="1:30" x14ac:dyDescent="0.3">
      <c r="A201" s="51"/>
      <c r="B201" s="51"/>
      <c r="C201" s="51"/>
      <c r="D201" s="51"/>
      <c r="E201" s="51"/>
      <c r="H201" s="52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X201" s="51"/>
      <c r="Y201" s="51"/>
      <c r="Z201" s="51"/>
      <c r="AA201" s="51"/>
      <c r="AB201" s="51"/>
      <c r="AC201" s="51"/>
      <c r="AD201" s="51"/>
    </row>
    <row r="202" spans="1:30" x14ac:dyDescent="0.3">
      <c r="A202" s="51"/>
      <c r="B202" s="51"/>
      <c r="C202" s="51"/>
      <c r="D202" s="51"/>
      <c r="E202" s="51"/>
      <c r="H202" s="52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X202" s="51"/>
      <c r="Y202" s="51"/>
      <c r="Z202" s="51"/>
      <c r="AA202" s="51"/>
      <c r="AB202" s="51"/>
      <c r="AC202" s="51"/>
      <c r="AD202" s="51"/>
    </row>
    <row r="203" spans="1:30" x14ac:dyDescent="0.3">
      <c r="A203" s="51"/>
      <c r="B203" s="51"/>
      <c r="C203" s="51"/>
      <c r="D203" s="51"/>
      <c r="E203" s="51"/>
      <c r="H203" s="52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X203" s="51"/>
      <c r="Y203" s="51"/>
      <c r="Z203" s="51"/>
      <c r="AA203" s="51"/>
      <c r="AB203" s="51"/>
      <c r="AC203" s="51"/>
      <c r="AD203" s="51"/>
    </row>
    <row r="204" spans="1:30" x14ac:dyDescent="0.3">
      <c r="A204" s="51"/>
      <c r="B204" s="51"/>
      <c r="C204" s="51"/>
      <c r="D204" s="51"/>
      <c r="E204" s="51"/>
      <c r="H204" s="52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X204" s="51"/>
      <c r="Y204" s="51"/>
      <c r="Z204" s="51"/>
      <c r="AA204" s="51"/>
      <c r="AB204" s="51"/>
      <c r="AC204" s="51"/>
      <c r="AD204" s="51"/>
    </row>
    <row r="205" spans="1:30" x14ac:dyDescent="0.3">
      <c r="A205" s="51"/>
      <c r="B205" s="51"/>
      <c r="C205" s="51"/>
      <c r="D205" s="51"/>
      <c r="E205" s="51"/>
      <c r="H205" s="52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X205" s="51"/>
      <c r="Y205" s="51"/>
      <c r="Z205" s="51"/>
      <c r="AA205" s="51"/>
      <c r="AB205" s="51"/>
      <c r="AC205" s="51"/>
      <c r="AD205" s="51"/>
    </row>
    <row r="206" spans="1:30" x14ac:dyDescent="0.3">
      <c r="A206" s="51"/>
      <c r="B206" s="51"/>
      <c r="C206" s="51"/>
      <c r="D206" s="51"/>
      <c r="E206" s="51"/>
      <c r="H206" s="52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X206" s="51"/>
      <c r="Y206" s="51"/>
      <c r="Z206" s="51"/>
      <c r="AA206" s="51"/>
      <c r="AB206" s="51"/>
      <c r="AC206" s="51"/>
      <c r="AD206" s="51"/>
    </row>
    <row r="207" spans="1:30" x14ac:dyDescent="0.3">
      <c r="A207" s="51"/>
      <c r="B207" s="51"/>
      <c r="C207" s="51"/>
      <c r="D207" s="51"/>
      <c r="E207" s="51"/>
      <c r="H207" s="52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X207" s="51"/>
      <c r="Y207" s="51"/>
      <c r="Z207" s="51"/>
      <c r="AA207" s="51"/>
      <c r="AB207" s="51"/>
      <c r="AC207" s="51"/>
      <c r="AD207" s="51"/>
    </row>
    <row r="208" spans="1:30" x14ac:dyDescent="0.3">
      <c r="A208" s="51"/>
      <c r="B208" s="51"/>
      <c r="C208" s="51"/>
      <c r="D208" s="51"/>
      <c r="E208" s="51"/>
      <c r="H208" s="52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X208" s="51"/>
      <c r="Y208" s="51"/>
      <c r="Z208" s="51"/>
      <c r="AA208" s="51"/>
      <c r="AB208" s="51"/>
      <c r="AC208" s="51"/>
      <c r="AD208" s="51"/>
    </row>
    <row r="209" spans="1:30" x14ac:dyDescent="0.3">
      <c r="A209" s="51"/>
      <c r="B209" s="51"/>
      <c r="C209" s="51"/>
      <c r="D209" s="51"/>
      <c r="E209" s="51"/>
      <c r="H209" s="52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X209" s="51"/>
      <c r="Y209" s="51"/>
      <c r="Z209" s="51"/>
      <c r="AA209" s="51"/>
      <c r="AB209" s="51"/>
      <c r="AC209" s="51"/>
      <c r="AD209" s="51"/>
    </row>
    <row r="210" spans="1:30" x14ac:dyDescent="0.3">
      <c r="A210" s="51"/>
      <c r="B210" s="51"/>
      <c r="C210" s="51"/>
      <c r="D210" s="51"/>
      <c r="E210" s="51"/>
      <c r="H210" s="52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X210" s="51"/>
      <c r="Y210" s="51"/>
      <c r="Z210" s="51"/>
      <c r="AA210" s="51"/>
      <c r="AB210" s="51"/>
      <c r="AC210" s="51"/>
      <c r="AD210" s="51"/>
    </row>
    <row r="211" spans="1:30" x14ac:dyDescent="0.3">
      <c r="A211" s="51"/>
      <c r="B211" s="51"/>
      <c r="C211" s="51"/>
      <c r="D211" s="51"/>
      <c r="E211" s="51"/>
      <c r="H211" s="52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X211" s="51"/>
      <c r="Y211" s="51"/>
      <c r="Z211" s="51"/>
      <c r="AA211" s="51"/>
      <c r="AB211" s="51"/>
      <c r="AC211" s="51"/>
      <c r="AD211" s="51"/>
    </row>
    <row r="212" spans="1:30" x14ac:dyDescent="0.3">
      <c r="A212" s="51"/>
      <c r="B212" s="51"/>
      <c r="C212" s="51"/>
      <c r="D212" s="51"/>
      <c r="E212" s="51"/>
      <c r="H212" s="52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X212" s="51"/>
      <c r="Y212" s="51"/>
      <c r="Z212" s="51"/>
      <c r="AA212" s="51"/>
      <c r="AB212" s="51"/>
      <c r="AC212" s="51"/>
      <c r="AD212" s="51"/>
    </row>
    <row r="213" spans="1:30" x14ac:dyDescent="0.3">
      <c r="A213" s="51"/>
      <c r="B213" s="51"/>
      <c r="C213" s="51"/>
      <c r="D213" s="51"/>
      <c r="E213" s="51"/>
      <c r="H213" s="52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X213" s="51"/>
      <c r="Y213" s="51"/>
      <c r="Z213" s="51"/>
      <c r="AA213" s="51"/>
      <c r="AB213" s="51"/>
      <c r="AC213" s="51"/>
      <c r="AD213" s="51"/>
    </row>
    <row r="214" spans="1:30" x14ac:dyDescent="0.3">
      <c r="A214" s="51"/>
      <c r="B214" s="51"/>
      <c r="C214" s="51"/>
      <c r="D214" s="51"/>
      <c r="E214" s="51"/>
      <c r="H214" s="52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X214" s="51"/>
      <c r="Y214" s="51"/>
      <c r="Z214" s="51"/>
      <c r="AA214" s="51"/>
      <c r="AB214" s="51"/>
      <c r="AC214" s="51"/>
      <c r="AD214" s="51"/>
    </row>
    <row r="215" spans="1:30" x14ac:dyDescent="0.3">
      <c r="A215" s="51"/>
      <c r="B215" s="51"/>
      <c r="C215" s="51"/>
      <c r="D215" s="51"/>
      <c r="E215" s="51"/>
      <c r="H215" s="52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X215" s="51"/>
      <c r="Y215" s="51"/>
      <c r="Z215" s="51"/>
      <c r="AA215" s="51"/>
      <c r="AB215" s="51"/>
      <c r="AC215" s="51"/>
      <c r="AD215" s="51"/>
    </row>
    <row r="216" spans="1:30" x14ac:dyDescent="0.3">
      <c r="A216" s="51"/>
      <c r="B216" s="51"/>
      <c r="C216" s="51"/>
      <c r="D216" s="51"/>
      <c r="E216" s="51"/>
      <c r="H216" s="52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X216" s="51"/>
      <c r="Y216" s="51"/>
      <c r="Z216" s="51"/>
      <c r="AA216" s="51"/>
      <c r="AB216" s="51"/>
      <c r="AC216" s="51"/>
      <c r="AD216" s="51"/>
    </row>
    <row r="217" spans="1:30" x14ac:dyDescent="0.3">
      <c r="A217" s="51"/>
      <c r="B217" s="51"/>
      <c r="C217" s="51"/>
      <c r="D217" s="51"/>
      <c r="E217" s="51"/>
      <c r="H217" s="52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X217" s="51"/>
      <c r="Y217" s="51"/>
      <c r="Z217" s="51"/>
      <c r="AA217" s="51"/>
      <c r="AB217" s="51"/>
      <c r="AC217" s="51"/>
      <c r="AD217" s="51"/>
    </row>
    <row r="218" spans="1:30" x14ac:dyDescent="0.3">
      <c r="A218" s="51"/>
      <c r="B218" s="51"/>
      <c r="C218" s="51"/>
      <c r="D218" s="51"/>
      <c r="E218" s="51"/>
      <c r="H218" s="52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X218" s="51"/>
      <c r="Y218" s="51"/>
      <c r="Z218" s="51"/>
      <c r="AA218" s="51"/>
      <c r="AB218" s="51"/>
      <c r="AC218" s="51"/>
      <c r="AD218" s="51"/>
    </row>
    <row r="219" spans="1:30" x14ac:dyDescent="0.3">
      <c r="A219" s="51"/>
      <c r="B219" s="51"/>
      <c r="C219" s="51"/>
      <c r="D219" s="51"/>
      <c r="E219" s="51"/>
      <c r="H219" s="52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X219" s="51"/>
      <c r="Y219" s="51"/>
      <c r="Z219" s="51"/>
      <c r="AA219" s="51"/>
      <c r="AB219" s="51"/>
      <c r="AC219" s="51"/>
      <c r="AD219" s="51"/>
    </row>
    <row r="220" spans="1:30" x14ac:dyDescent="0.3">
      <c r="A220" s="51"/>
      <c r="B220" s="51"/>
      <c r="C220" s="51"/>
      <c r="D220" s="51"/>
      <c r="E220" s="51"/>
      <c r="H220" s="52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X220" s="51"/>
      <c r="Y220" s="51"/>
      <c r="Z220" s="51"/>
      <c r="AA220" s="51"/>
      <c r="AB220" s="51"/>
      <c r="AC220" s="51"/>
      <c r="AD220" s="51"/>
    </row>
    <row r="221" spans="1:30" x14ac:dyDescent="0.3">
      <c r="A221" s="51"/>
      <c r="B221" s="51"/>
      <c r="C221" s="51"/>
      <c r="D221" s="51"/>
      <c r="E221" s="51"/>
      <c r="H221" s="52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X221" s="51"/>
      <c r="Y221" s="51"/>
      <c r="Z221" s="51"/>
      <c r="AA221" s="51"/>
      <c r="AB221" s="51"/>
      <c r="AC221" s="51"/>
      <c r="AD221" s="51"/>
    </row>
    <row r="222" spans="1:30" x14ac:dyDescent="0.3">
      <c r="A222" s="51"/>
      <c r="B222" s="51"/>
      <c r="C222" s="51"/>
      <c r="D222" s="51"/>
      <c r="E222" s="51"/>
      <c r="H222" s="52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X222" s="51"/>
      <c r="Y222" s="51"/>
      <c r="Z222" s="51"/>
      <c r="AA222" s="51"/>
      <c r="AB222" s="51"/>
      <c r="AC222" s="51"/>
      <c r="AD222" s="51"/>
    </row>
    <row r="223" spans="1:30" x14ac:dyDescent="0.3">
      <c r="A223" s="51"/>
      <c r="B223" s="51"/>
      <c r="C223" s="51"/>
      <c r="D223" s="51"/>
      <c r="E223" s="51"/>
      <c r="H223" s="52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X223" s="51"/>
      <c r="Y223" s="51"/>
      <c r="Z223" s="51"/>
      <c r="AA223" s="51"/>
      <c r="AB223" s="51"/>
      <c r="AC223" s="51"/>
      <c r="AD223" s="51"/>
    </row>
    <row r="224" spans="1:30" x14ac:dyDescent="0.3">
      <c r="A224" s="51"/>
      <c r="B224" s="51"/>
      <c r="C224" s="51"/>
      <c r="D224" s="51"/>
      <c r="E224" s="51"/>
      <c r="H224" s="52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X224" s="51"/>
      <c r="Y224" s="51"/>
      <c r="Z224" s="51"/>
      <c r="AA224" s="51"/>
      <c r="AB224" s="51"/>
      <c r="AC224" s="51"/>
      <c r="AD224" s="51"/>
    </row>
    <row r="225" spans="1:30" x14ac:dyDescent="0.3">
      <c r="A225" s="51"/>
      <c r="B225" s="51"/>
      <c r="C225" s="51"/>
      <c r="D225" s="51"/>
      <c r="E225" s="51"/>
      <c r="H225" s="52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X225" s="51"/>
      <c r="Y225" s="51"/>
      <c r="Z225" s="51"/>
      <c r="AA225" s="51"/>
      <c r="AB225" s="51"/>
      <c r="AC225" s="51"/>
      <c r="AD225" s="51"/>
    </row>
    <row r="226" spans="1:30" x14ac:dyDescent="0.3">
      <c r="A226" s="51"/>
      <c r="B226" s="51"/>
      <c r="C226" s="51"/>
      <c r="D226" s="51"/>
      <c r="E226" s="51"/>
      <c r="H226" s="52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X226" s="51"/>
      <c r="Y226" s="51"/>
      <c r="Z226" s="51"/>
      <c r="AA226" s="51"/>
      <c r="AB226" s="51"/>
      <c r="AC226" s="51"/>
      <c r="AD226" s="51"/>
    </row>
    <row r="227" spans="1:30" x14ac:dyDescent="0.3">
      <c r="A227" s="51"/>
      <c r="B227" s="51"/>
      <c r="C227" s="51"/>
      <c r="D227" s="51"/>
      <c r="E227" s="51"/>
      <c r="H227" s="52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X227" s="51"/>
      <c r="Y227" s="51"/>
      <c r="Z227" s="51"/>
      <c r="AA227" s="51"/>
      <c r="AB227" s="51"/>
      <c r="AC227" s="51"/>
      <c r="AD227" s="51"/>
    </row>
    <row r="228" spans="1:30" x14ac:dyDescent="0.3">
      <c r="A228" s="51"/>
      <c r="B228" s="51"/>
      <c r="C228" s="51"/>
      <c r="D228" s="51"/>
      <c r="E228" s="51"/>
      <c r="H228" s="52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X228" s="51"/>
      <c r="Y228" s="51"/>
      <c r="Z228" s="51"/>
      <c r="AA228" s="51"/>
      <c r="AB228" s="51"/>
      <c r="AC228" s="51"/>
      <c r="AD228" s="51"/>
    </row>
    <row r="229" spans="1:30" x14ac:dyDescent="0.3">
      <c r="A229" s="51"/>
      <c r="B229" s="51"/>
      <c r="C229" s="51"/>
      <c r="D229" s="51"/>
      <c r="E229" s="51"/>
      <c r="H229" s="52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X229" s="51"/>
      <c r="Y229" s="51"/>
      <c r="Z229" s="51"/>
      <c r="AA229" s="51"/>
      <c r="AB229" s="51"/>
      <c r="AC229" s="51"/>
      <c r="AD229" s="51"/>
    </row>
    <row r="230" spans="1:30" x14ac:dyDescent="0.3">
      <c r="A230" s="51"/>
      <c r="B230" s="51"/>
      <c r="C230" s="51"/>
      <c r="D230" s="51"/>
      <c r="E230" s="51"/>
      <c r="H230" s="52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X230" s="51"/>
      <c r="Y230" s="51"/>
      <c r="Z230" s="51"/>
      <c r="AA230" s="51"/>
      <c r="AB230" s="51"/>
      <c r="AC230" s="51"/>
      <c r="AD230" s="51"/>
    </row>
    <row r="231" spans="1:30" x14ac:dyDescent="0.3">
      <c r="A231" s="51"/>
      <c r="B231" s="51"/>
      <c r="C231" s="51"/>
      <c r="D231" s="51"/>
      <c r="E231" s="51"/>
      <c r="H231" s="52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X231" s="51"/>
      <c r="Y231" s="51"/>
      <c r="Z231" s="51"/>
      <c r="AA231" s="51"/>
      <c r="AB231" s="51"/>
      <c r="AC231" s="51"/>
      <c r="AD231" s="51"/>
    </row>
    <row r="232" spans="1:30" x14ac:dyDescent="0.3">
      <c r="A232" s="51"/>
      <c r="B232" s="51"/>
      <c r="C232" s="51"/>
      <c r="D232" s="51"/>
      <c r="E232" s="51"/>
      <c r="H232" s="52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X232" s="51"/>
      <c r="Y232" s="51"/>
      <c r="Z232" s="51"/>
      <c r="AA232" s="51"/>
      <c r="AB232" s="51"/>
      <c r="AC232" s="51"/>
      <c r="AD232" s="51"/>
    </row>
    <row r="233" spans="1:30" x14ac:dyDescent="0.3">
      <c r="A233" s="51"/>
      <c r="B233" s="51"/>
      <c r="C233" s="51"/>
      <c r="D233" s="51"/>
      <c r="E233" s="51"/>
      <c r="H233" s="52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X233" s="51"/>
      <c r="Y233" s="51"/>
      <c r="Z233" s="51"/>
      <c r="AA233" s="51"/>
      <c r="AB233" s="51"/>
      <c r="AC233" s="51"/>
      <c r="AD233" s="51"/>
    </row>
    <row r="234" spans="1:30" x14ac:dyDescent="0.3">
      <c r="A234" s="51"/>
      <c r="B234" s="51"/>
      <c r="C234" s="51"/>
      <c r="D234" s="51"/>
      <c r="E234" s="51"/>
      <c r="H234" s="52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X234" s="51"/>
      <c r="Y234" s="51"/>
      <c r="Z234" s="51"/>
      <c r="AA234" s="51"/>
      <c r="AB234" s="51"/>
      <c r="AC234" s="51"/>
      <c r="AD234" s="51"/>
    </row>
    <row r="235" spans="1:30" x14ac:dyDescent="0.3">
      <c r="A235" s="51"/>
      <c r="B235" s="51"/>
      <c r="C235" s="51"/>
      <c r="D235" s="51"/>
      <c r="E235" s="51"/>
      <c r="H235" s="52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X235" s="51"/>
      <c r="Y235" s="51"/>
      <c r="Z235" s="51"/>
      <c r="AA235" s="51"/>
      <c r="AB235" s="51"/>
      <c r="AC235" s="51"/>
      <c r="AD235" s="51"/>
    </row>
    <row r="236" spans="1:30" x14ac:dyDescent="0.3">
      <c r="A236" s="51"/>
      <c r="B236" s="51"/>
      <c r="C236" s="51"/>
      <c r="D236" s="51"/>
      <c r="E236" s="51"/>
      <c r="H236" s="52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X236" s="51"/>
      <c r="Y236" s="51"/>
      <c r="Z236" s="51"/>
      <c r="AA236" s="51"/>
      <c r="AB236" s="51"/>
      <c r="AC236" s="51"/>
      <c r="AD236" s="51"/>
    </row>
    <row r="237" spans="1:30" x14ac:dyDescent="0.3">
      <c r="A237" s="51"/>
      <c r="B237" s="51"/>
      <c r="C237" s="51"/>
      <c r="D237" s="51"/>
      <c r="E237" s="51"/>
      <c r="H237" s="52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X237" s="51"/>
      <c r="Y237" s="51"/>
      <c r="Z237" s="51"/>
      <c r="AA237" s="51"/>
      <c r="AB237" s="51"/>
      <c r="AC237" s="51"/>
      <c r="AD237" s="51"/>
    </row>
    <row r="238" spans="1:30" x14ac:dyDescent="0.3">
      <c r="A238" s="51"/>
      <c r="B238" s="51"/>
      <c r="C238" s="51"/>
      <c r="D238" s="51"/>
      <c r="E238" s="51"/>
      <c r="H238" s="52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X238" s="51"/>
      <c r="Y238" s="51"/>
      <c r="Z238" s="51"/>
      <c r="AA238" s="51"/>
      <c r="AB238" s="51"/>
      <c r="AC238" s="51"/>
      <c r="AD238" s="51"/>
    </row>
    <row r="239" spans="1:30" x14ac:dyDescent="0.3">
      <c r="A239" s="51"/>
      <c r="B239" s="51"/>
      <c r="C239" s="51"/>
      <c r="D239" s="51"/>
      <c r="E239" s="51"/>
      <c r="H239" s="52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X239" s="51"/>
      <c r="Y239" s="51"/>
      <c r="Z239" s="51"/>
      <c r="AA239" s="51"/>
      <c r="AB239" s="51"/>
      <c r="AC239" s="51"/>
      <c r="AD239" s="51"/>
    </row>
    <row r="240" spans="1:30" x14ac:dyDescent="0.3">
      <c r="A240" s="51"/>
      <c r="B240" s="51"/>
      <c r="C240" s="51"/>
      <c r="D240" s="51"/>
      <c r="E240" s="51"/>
      <c r="H240" s="52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X240" s="51"/>
      <c r="Y240" s="51"/>
      <c r="Z240" s="51"/>
      <c r="AA240" s="51"/>
      <c r="AB240" s="51"/>
      <c r="AC240" s="51"/>
      <c r="AD240" s="51"/>
    </row>
    <row r="241" spans="1:30" x14ac:dyDescent="0.3">
      <c r="A241" s="51"/>
      <c r="B241" s="51"/>
      <c r="C241" s="51"/>
      <c r="D241" s="51"/>
      <c r="E241" s="51"/>
      <c r="H241" s="52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X241" s="51"/>
      <c r="Y241" s="51"/>
      <c r="Z241" s="51"/>
      <c r="AA241" s="51"/>
      <c r="AB241" s="51"/>
      <c r="AC241" s="51"/>
      <c r="AD241" s="51"/>
    </row>
    <row r="242" spans="1:30" x14ac:dyDescent="0.3">
      <c r="A242" s="51"/>
      <c r="B242" s="51"/>
      <c r="C242" s="51"/>
      <c r="D242" s="51"/>
      <c r="E242" s="51"/>
      <c r="H242" s="52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X242" s="51"/>
      <c r="Y242" s="51"/>
      <c r="Z242" s="51"/>
      <c r="AA242" s="51"/>
      <c r="AB242" s="51"/>
      <c r="AC242" s="51"/>
      <c r="AD242" s="51"/>
    </row>
    <row r="243" spans="1:30" x14ac:dyDescent="0.3">
      <c r="A243" s="51"/>
      <c r="B243" s="51"/>
      <c r="C243" s="51"/>
      <c r="D243" s="51"/>
      <c r="E243" s="51"/>
      <c r="H243" s="52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X243" s="51"/>
      <c r="Y243" s="51"/>
      <c r="Z243" s="51"/>
      <c r="AA243" s="51"/>
      <c r="AB243" s="51"/>
      <c r="AC243" s="51"/>
      <c r="AD243" s="51"/>
    </row>
    <row r="244" spans="1:30" x14ac:dyDescent="0.3">
      <c r="A244" s="51"/>
      <c r="B244" s="51"/>
      <c r="C244" s="51"/>
      <c r="D244" s="51"/>
      <c r="E244" s="51"/>
      <c r="H244" s="52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X244" s="51"/>
      <c r="Y244" s="51"/>
      <c r="Z244" s="51"/>
      <c r="AA244" s="51"/>
      <c r="AB244" s="51"/>
      <c r="AC244" s="51"/>
      <c r="AD244" s="51"/>
    </row>
    <row r="245" spans="1:30" x14ac:dyDescent="0.3">
      <c r="A245" s="51"/>
      <c r="B245" s="51"/>
      <c r="C245" s="51"/>
      <c r="D245" s="51"/>
      <c r="E245" s="51"/>
      <c r="H245" s="52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X245" s="51"/>
      <c r="Y245" s="51"/>
      <c r="Z245" s="51"/>
      <c r="AA245" s="51"/>
      <c r="AB245" s="51"/>
      <c r="AC245" s="51"/>
      <c r="AD245" s="51"/>
    </row>
    <row r="246" spans="1:30" x14ac:dyDescent="0.3">
      <c r="A246" s="51"/>
      <c r="B246" s="51"/>
      <c r="C246" s="51"/>
      <c r="D246" s="51"/>
      <c r="E246" s="51"/>
      <c r="H246" s="52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X246" s="51"/>
      <c r="Y246" s="51"/>
      <c r="Z246" s="51"/>
      <c r="AA246" s="51"/>
      <c r="AB246" s="51"/>
      <c r="AC246" s="51"/>
      <c r="AD246" s="51"/>
    </row>
    <row r="247" spans="1:30" x14ac:dyDescent="0.3">
      <c r="A247" s="51"/>
      <c r="B247" s="51"/>
      <c r="C247" s="51"/>
      <c r="D247" s="51"/>
      <c r="E247" s="51"/>
      <c r="H247" s="52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X247" s="51"/>
      <c r="Y247" s="51"/>
      <c r="Z247" s="51"/>
      <c r="AA247" s="51"/>
      <c r="AB247" s="51"/>
      <c r="AC247" s="51"/>
      <c r="AD247" s="51"/>
    </row>
    <row r="248" spans="1:30" x14ac:dyDescent="0.3">
      <c r="A248" s="51"/>
      <c r="B248" s="51"/>
      <c r="C248" s="51"/>
      <c r="D248" s="51"/>
      <c r="E248" s="51"/>
      <c r="H248" s="52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X248" s="51"/>
      <c r="Y248" s="51"/>
      <c r="Z248" s="51"/>
      <c r="AA248" s="51"/>
      <c r="AB248" s="51"/>
      <c r="AC248" s="51"/>
      <c r="AD248" s="51"/>
    </row>
    <row r="249" spans="1:30" x14ac:dyDescent="0.3">
      <c r="A249" s="51"/>
      <c r="B249" s="51"/>
      <c r="C249" s="51"/>
      <c r="D249" s="51"/>
      <c r="E249" s="51"/>
      <c r="H249" s="52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X249" s="51"/>
      <c r="Y249" s="51"/>
      <c r="Z249" s="51"/>
      <c r="AA249" s="51"/>
      <c r="AB249" s="51"/>
      <c r="AC249" s="51"/>
      <c r="AD249" s="51"/>
    </row>
    <row r="250" spans="1:30" x14ac:dyDescent="0.3">
      <c r="A250" s="51"/>
      <c r="B250" s="51"/>
      <c r="C250" s="51"/>
      <c r="D250" s="51"/>
      <c r="E250" s="51"/>
      <c r="H250" s="52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X250" s="51"/>
      <c r="Y250" s="51"/>
      <c r="Z250" s="51"/>
      <c r="AA250" s="51"/>
      <c r="AB250" s="51"/>
      <c r="AC250" s="51"/>
      <c r="AD250" s="51"/>
    </row>
    <row r="251" spans="1:30" x14ac:dyDescent="0.3">
      <c r="A251" s="51"/>
      <c r="B251" s="51"/>
      <c r="C251" s="51"/>
      <c r="D251" s="51"/>
      <c r="E251" s="51"/>
      <c r="H251" s="52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X251" s="51"/>
      <c r="Y251" s="51"/>
      <c r="Z251" s="51"/>
      <c r="AA251" s="51"/>
      <c r="AB251" s="51"/>
      <c r="AC251" s="51"/>
      <c r="AD251" s="51"/>
    </row>
    <row r="252" spans="1:30" x14ac:dyDescent="0.3">
      <c r="A252" s="51"/>
      <c r="B252" s="51"/>
      <c r="C252" s="51"/>
      <c r="D252" s="51"/>
      <c r="E252" s="51"/>
      <c r="H252" s="52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X252" s="51"/>
      <c r="Y252" s="51"/>
      <c r="Z252" s="51"/>
      <c r="AA252" s="51"/>
      <c r="AB252" s="51"/>
      <c r="AC252" s="51"/>
      <c r="AD252" s="51"/>
    </row>
    <row r="253" spans="1:30" x14ac:dyDescent="0.3">
      <c r="A253" s="51"/>
      <c r="B253" s="51"/>
      <c r="C253" s="51"/>
      <c r="D253" s="51"/>
      <c r="E253" s="51"/>
      <c r="H253" s="52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X253" s="51"/>
      <c r="Y253" s="51"/>
      <c r="Z253" s="51"/>
      <c r="AA253" s="51"/>
      <c r="AB253" s="51"/>
      <c r="AC253" s="51"/>
      <c r="AD253" s="51"/>
    </row>
    <row r="254" spans="1:30" x14ac:dyDescent="0.3">
      <c r="A254" s="51"/>
      <c r="B254" s="51"/>
      <c r="C254" s="51"/>
      <c r="D254" s="51"/>
      <c r="E254" s="51"/>
      <c r="H254" s="52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X254" s="51"/>
      <c r="Y254" s="51"/>
      <c r="Z254" s="51"/>
      <c r="AA254" s="51"/>
      <c r="AB254" s="51"/>
      <c r="AC254" s="51"/>
      <c r="AD254" s="51"/>
    </row>
    <row r="255" spans="1:30" x14ac:dyDescent="0.3">
      <c r="A255" s="51"/>
      <c r="B255" s="51"/>
      <c r="C255" s="51"/>
      <c r="D255" s="51"/>
      <c r="E255" s="51"/>
      <c r="H255" s="52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X255" s="51"/>
      <c r="Y255" s="51"/>
      <c r="Z255" s="51"/>
      <c r="AA255" s="51"/>
      <c r="AB255" s="51"/>
      <c r="AC255" s="51"/>
      <c r="AD255" s="51"/>
    </row>
    <row r="256" spans="1:30" x14ac:dyDescent="0.3">
      <c r="A256" s="51"/>
      <c r="B256" s="51"/>
      <c r="C256" s="51"/>
      <c r="D256" s="51"/>
      <c r="E256" s="51"/>
      <c r="H256" s="52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X256" s="51"/>
      <c r="Y256" s="51"/>
      <c r="Z256" s="51"/>
      <c r="AA256" s="51"/>
      <c r="AB256" s="51"/>
      <c r="AC256" s="51"/>
      <c r="AD256" s="51"/>
    </row>
    <row r="257" spans="1:30" x14ac:dyDescent="0.3">
      <c r="A257" s="51"/>
      <c r="B257" s="51"/>
      <c r="C257" s="51"/>
      <c r="D257" s="51"/>
      <c r="E257" s="51"/>
      <c r="H257" s="52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X257" s="51"/>
      <c r="Y257" s="51"/>
      <c r="Z257" s="51"/>
      <c r="AA257" s="51"/>
      <c r="AB257" s="51"/>
      <c r="AC257" s="51"/>
      <c r="AD257" s="51"/>
    </row>
    <row r="258" spans="1:30" x14ac:dyDescent="0.3">
      <c r="A258" s="51"/>
      <c r="B258" s="51"/>
      <c r="C258" s="51"/>
      <c r="D258" s="51"/>
      <c r="E258" s="51"/>
      <c r="H258" s="52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X258" s="51"/>
      <c r="Y258" s="51"/>
      <c r="Z258" s="51"/>
      <c r="AA258" s="51"/>
      <c r="AB258" s="51"/>
      <c r="AC258" s="51"/>
      <c r="AD258" s="51"/>
    </row>
    <row r="259" spans="1:30" x14ac:dyDescent="0.3">
      <c r="A259" s="51"/>
      <c r="B259" s="51"/>
      <c r="C259" s="51"/>
      <c r="D259" s="51"/>
      <c r="E259" s="51"/>
      <c r="H259" s="52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X259" s="51"/>
      <c r="Y259" s="51"/>
      <c r="Z259" s="51"/>
      <c r="AA259" s="51"/>
      <c r="AB259" s="51"/>
      <c r="AC259" s="51"/>
      <c r="AD259" s="51"/>
    </row>
    <row r="260" spans="1:30" x14ac:dyDescent="0.3">
      <c r="A260" s="51"/>
      <c r="B260" s="51"/>
      <c r="C260" s="51"/>
      <c r="D260" s="51"/>
      <c r="E260" s="51"/>
      <c r="H260" s="52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X260" s="51"/>
      <c r="Y260" s="51"/>
      <c r="Z260" s="51"/>
      <c r="AA260" s="51"/>
      <c r="AB260" s="51"/>
      <c r="AC260" s="51"/>
      <c r="AD260" s="51"/>
    </row>
    <row r="261" spans="1:30" x14ac:dyDescent="0.3">
      <c r="A261" s="51"/>
      <c r="B261" s="51"/>
      <c r="C261" s="51"/>
      <c r="D261" s="51"/>
      <c r="E261" s="51"/>
      <c r="H261" s="52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X261" s="51"/>
      <c r="Y261" s="51"/>
      <c r="Z261" s="51"/>
      <c r="AA261" s="51"/>
      <c r="AB261" s="51"/>
      <c r="AC261" s="51"/>
      <c r="AD261" s="51"/>
    </row>
    <row r="262" spans="1:30" x14ac:dyDescent="0.3">
      <c r="A262" s="51"/>
      <c r="B262" s="51"/>
      <c r="C262" s="51"/>
      <c r="D262" s="51"/>
      <c r="E262" s="51"/>
      <c r="H262" s="52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X262" s="51"/>
      <c r="Y262" s="51"/>
      <c r="Z262" s="51"/>
      <c r="AA262" s="51"/>
      <c r="AB262" s="51"/>
      <c r="AC262" s="51"/>
      <c r="AD262" s="51"/>
    </row>
    <row r="263" spans="1:30" x14ac:dyDescent="0.3">
      <c r="A263" s="51"/>
      <c r="B263" s="51"/>
      <c r="C263" s="51"/>
      <c r="D263" s="51"/>
      <c r="E263" s="51"/>
      <c r="H263" s="52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X263" s="51"/>
      <c r="Y263" s="51"/>
      <c r="Z263" s="51"/>
      <c r="AA263" s="51"/>
      <c r="AB263" s="51"/>
      <c r="AC263" s="51"/>
      <c r="AD263" s="51"/>
    </row>
    <row r="264" spans="1:30" x14ac:dyDescent="0.3">
      <c r="A264" s="51"/>
      <c r="B264" s="51"/>
      <c r="C264" s="51"/>
      <c r="D264" s="51"/>
      <c r="E264" s="51"/>
      <c r="H264" s="52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X264" s="51"/>
      <c r="Y264" s="51"/>
      <c r="Z264" s="51"/>
      <c r="AA264" s="51"/>
      <c r="AB264" s="51"/>
      <c r="AC264" s="51"/>
      <c r="AD264" s="51"/>
    </row>
    <row r="265" spans="1:30" x14ac:dyDescent="0.3">
      <c r="A265" s="51"/>
      <c r="B265" s="51"/>
      <c r="C265" s="51"/>
      <c r="D265" s="51"/>
      <c r="E265" s="51"/>
      <c r="H265" s="52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X265" s="51"/>
      <c r="Y265" s="51"/>
      <c r="Z265" s="51"/>
      <c r="AA265" s="51"/>
      <c r="AB265" s="51"/>
      <c r="AC265" s="51"/>
      <c r="AD265" s="51"/>
    </row>
    <row r="266" spans="1:30" x14ac:dyDescent="0.3">
      <c r="A266" s="51"/>
      <c r="B266" s="51"/>
      <c r="C266" s="51"/>
      <c r="D266" s="51"/>
      <c r="E266" s="51"/>
      <c r="H266" s="52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X266" s="51"/>
      <c r="Y266" s="51"/>
      <c r="Z266" s="51"/>
      <c r="AA266" s="51"/>
      <c r="AB266" s="51"/>
      <c r="AC266" s="51"/>
      <c r="AD266" s="51"/>
    </row>
    <row r="267" spans="1:30" x14ac:dyDescent="0.3">
      <c r="A267" s="51"/>
      <c r="B267" s="51"/>
      <c r="C267" s="51"/>
      <c r="D267" s="51"/>
      <c r="E267" s="51"/>
      <c r="H267" s="52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X267" s="51"/>
      <c r="Y267" s="51"/>
      <c r="Z267" s="51"/>
      <c r="AA267" s="51"/>
      <c r="AB267" s="51"/>
      <c r="AC267" s="51"/>
      <c r="AD267" s="51"/>
    </row>
    <row r="268" spans="1:30" x14ac:dyDescent="0.3">
      <c r="A268" s="51"/>
      <c r="B268" s="51"/>
      <c r="C268" s="51"/>
      <c r="D268" s="51"/>
      <c r="E268" s="51"/>
      <c r="H268" s="52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X268" s="51"/>
      <c r="Y268" s="51"/>
      <c r="Z268" s="51"/>
      <c r="AA268" s="51"/>
      <c r="AB268" s="51"/>
      <c r="AC268" s="51"/>
      <c r="AD268" s="51"/>
    </row>
    <row r="269" spans="1:30" x14ac:dyDescent="0.3">
      <c r="A269" s="51"/>
      <c r="B269" s="51"/>
      <c r="C269" s="51"/>
      <c r="D269" s="51"/>
      <c r="E269" s="51"/>
      <c r="H269" s="52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X269" s="51"/>
      <c r="Y269" s="51"/>
      <c r="Z269" s="51"/>
      <c r="AA269" s="51"/>
      <c r="AB269" s="51"/>
      <c r="AC269" s="51"/>
      <c r="AD269" s="51"/>
    </row>
    <row r="270" spans="1:30" x14ac:dyDescent="0.3">
      <c r="A270" s="51"/>
      <c r="B270" s="51"/>
      <c r="C270" s="51"/>
      <c r="D270" s="51"/>
      <c r="E270" s="51"/>
      <c r="H270" s="52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X270" s="51"/>
      <c r="Y270" s="51"/>
      <c r="Z270" s="51"/>
      <c r="AA270" s="51"/>
      <c r="AB270" s="51"/>
      <c r="AC270" s="51"/>
      <c r="AD270" s="51"/>
    </row>
    <row r="271" spans="1:30" x14ac:dyDescent="0.3">
      <c r="A271" s="51"/>
      <c r="B271" s="51"/>
      <c r="C271" s="51"/>
      <c r="D271" s="51"/>
      <c r="E271" s="51"/>
      <c r="H271" s="52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X271" s="51"/>
      <c r="Y271" s="51"/>
      <c r="Z271" s="51"/>
      <c r="AA271" s="51"/>
      <c r="AB271" s="51"/>
      <c r="AC271" s="51"/>
      <c r="AD271" s="51"/>
    </row>
    <row r="272" spans="1:30" x14ac:dyDescent="0.3">
      <c r="A272" s="51"/>
      <c r="B272" s="51"/>
      <c r="C272" s="51"/>
      <c r="D272" s="51"/>
      <c r="E272" s="51"/>
      <c r="H272" s="52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X272" s="51"/>
      <c r="Y272" s="51"/>
      <c r="Z272" s="51"/>
      <c r="AA272" s="51"/>
      <c r="AB272" s="51"/>
      <c r="AC272" s="51"/>
      <c r="AD272" s="51"/>
    </row>
    <row r="273" spans="1:30" x14ac:dyDescent="0.3">
      <c r="A273" s="51"/>
      <c r="B273" s="51"/>
      <c r="C273" s="51"/>
      <c r="D273" s="51"/>
      <c r="E273" s="51"/>
      <c r="H273" s="52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X273" s="51"/>
      <c r="Y273" s="51"/>
      <c r="Z273" s="51"/>
      <c r="AA273" s="51"/>
      <c r="AB273" s="51"/>
      <c r="AC273" s="51"/>
      <c r="AD273" s="51"/>
    </row>
    <row r="274" spans="1:30" x14ac:dyDescent="0.3">
      <c r="A274" s="51"/>
      <c r="B274" s="51"/>
      <c r="C274" s="51"/>
      <c r="D274" s="51"/>
      <c r="E274" s="51"/>
      <c r="H274" s="52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X274" s="51"/>
      <c r="Y274" s="51"/>
      <c r="Z274" s="51"/>
      <c r="AA274" s="51"/>
      <c r="AB274" s="51"/>
      <c r="AC274" s="51"/>
      <c r="AD274" s="51"/>
    </row>
    <row r="275" spans="1:30" x14ac:dyDescent="0.3">
      <c r="A275" s="51"/>
      <c r="B275" s="51"/>
      <c r="C275" s="51"/>
      <c r="D275" s="51"/>
      <c r="E275" s="51"/>
      <c r="H275" s="52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X275" s="51"/>
      <c r="Y275" s="51"/>
      <c r="Z275" s="51"/>
      <c r="AA275" s="51"/>
      <c r="AB275" s="51"/>
      <c r="AC275" s="51"/>
      <c r="AD275" s="51"/>
    </row>
    <row r="276" spans="1:30" x14ac:dyDescent="0.3">
      <c r="A276" s="51"/>
      <c r="B276" s="51"/>
      <c r="C276" s="51"/>
      <c r="D276" s="51"/>
      <c r="E276" s="51"/>
      <c r="H276" s="52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X276" s="51"/>
      <c r="Y276" s="51"/>
      <c r="Z276" s="51"/>
      <c r="AA276" s="51"/>
      <c r="AB276" s="51"/>
      <c r="AC276" s="51"/>
      <c r="AD276" s="51"/>
    </row>
    <row r="277" spans="1:30" x14ac:dyDescent="0.3">
      <c r="A277" s="51"/>
      <c r="B277" s="51"/>
      <c r="C277" s="51"/>
      <c r="D277" s="51"/>
      <c r="E277" s="51"/>
      <c r="H277" s="52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X277" s="51"/>
      <c r="Y277" s="51"/>
      <c r="Z277" s="51"/>
      <c r="AA277" s="51"/>
      <c r="AB277" s="51"/>
      <c r="AC277" s="51"/>
      <c r="AD277" s="51"/>
    </row>
    <row r="278" spans="1:30" x14ac:dyDescent="0.3">
      <c r="A278" s="51"/>
      <c r="B278" s="51"/>
      <c r="C278" s="51"/>
      <c r="D278" s="51"/>
      <c r="E278" s="51"/>
      <c r="H278" s="52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X278" s="51"/>
      <c r="Y278" s="51"/>
      <c r="Z278" s="51"/>
      <c r="AA278" s="51"/>
      <c r="AB278" s="51"/>
      <c r="AC278" s="51"/>
      <c r="AD278" s="51"/>
    </row>
    <row r="279" spans="1:30" x14ac:dyDescent="0.3">
      <c r="A279" s="51"/>
      <c r="B279" s="51"/>
      <c r="C279" s="51"/>
      <c r="D279" s="51"/>
      <c r="E279" s="51"/>
      <c r="H279" s="52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X279" s="51"/>
      <c r="Y279" s="51"/>
      <c r="Z279" s="51"/>
      <c r="AA279" s="51"/>
      <c r="AB279" s="51"/>
      <c r="AC279" s="51"/>
      <c r="AD279" s="51"/>
    </row>
    <row r="280" spans="1:30" x14ac:dyDescent="0.3">
      <c r="A280" s="51"/>
      <c r="B280" s="51"/>
      <c r="C280" s="51"/>
      <c r="D280" s="51"/>
      <c r="E280" s="51"/>
      <c r="H280" s="52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X280" s="51"/>
      <c r="Y280" s="51"/>
      <c r="Z280" s="51"/>
      <c r="AA280" s="51"/>
      <c r="AB280" s="51"/>
      <c r="AC280" s="51"/>
      <c r="AD280" s="51"/>
    </row>
    <row r="281" spans="1:30" x14ac:dyDescent="0.3">
      <c r="A281" s="51"/>
      <c r="B281" s="51"/>
      <c r="C281" s="51"/>
      <c r="D281" s="51"/>
      <c r="E281" s="51"/>
      <c r="H281" s="52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X281" s="51"/>
      <c r="Y281" s="51"/>
      <c r="Z281" s="51"/>
      <c r="AA281" s="51"/>
      <c r="AB281" s="51"/>
      <c r="AC281" s="51"/>
      <c r="AD281" s="51"/>
    </row>
    <row r="282" spans="1:30" x14ac:dyDescent="0.3">
      <c r="A282" s="51"/>
      <c r="B282" s="51"/>
      <c r="C282" s="51"/>
      <c r="D282" s="51"/>
      <c r="E282" s="51"/>
      <c r="H282" s="52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X282" s="51"/>
      <c r="Y282" s="51"/>
      <c r="Z282" s="51"/>
      <c r="AA282" s="51"/>
      <c r="AB282" s="51"/>
      <c r="AC282" s="51"/>
      <c r="AD282" s="51"/>
    </row>
    <row r="283" spans="1:30" x14ac:dyDescent="0.3">
      <c r="A283" s="51"/>
      <c r="B283" s="51"/>
      <c r="C283" s="51"/>
      <c r="D283" s="51"/>
      <c r="E283" s="51"/>
      <c r="H283" s="52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X283" s="51"/>
      <c r="Y283" s="51"/>
      <c r="Z283" s="51"/>
      <c r="AA283" s="51"/>
      <c r="AB283" s="51"/>
      <c r="AC283" s="51"/>
      <c r="AD283" s="51"/>
    </row>
    <row r="284" spans="1:30" x14ac:dyDescent="0.3">
      <c r="A284" s="51"/>
      <c r="B284" s="51"/>
      <c r="C284" s="51"/>
      <c r="D284" s="51"/>
      <c r="E284" s="51"/>
      <c r="H284" s="52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X284" s="51"/>
      <c r="Y284" s="51"/>
      <c r="Z284" s="51"/>
      <c r="AA284" s="51"/>
      <c r="AB284" s="51"/>
      <c r="AC284" s="51"/>
      <c r="AD284" s="51"/>
    </row>
    <row r="285" spans="1:30" x14ac:dyDescent="0.3">
      <c r="A285" s="51"/>
      <c r="B285" s="51"/>
      <c r="C285" s="51"/>
      <c r="D285" s="51"/>
      <c r="E285" s="51"/>
      <c r="H285" s="52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X285" s="51"/>
      <c r="Y285" s="51"/>
      <c r="Z285" s="51"/>
      <c r="AA285" s="51"/>
      <c r="AB285" s="51"/>
      <c r="AC285" s="51"/>
      <c r="AD285" s="51"/>
    </row>
    <row r="286" spans="1:30" x14ac:dyDescent="0.3">
      <c r="A286" s="51"/>
      <c r="B286" s="51"/>
      <c r="C286" s="51"/>
      <c r="D286" s="51"/>
      <c r="E286" s="51"/>
      <c r="H286" s="52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X286" s="51"/>
      <c r="Y286" s="51"/>
      <c r="Z286" s="51"/>
      <c r="AA286" s="51"/>
      <c r="AB286" s="51"/>
      <c r="AC286" s="51"/>
      <c r="AD286" s="51"/>
    </row>
    <row r="287" spans="1:30" x14ac:dyDescent="0.3">
      <c r="A287" s="51"/>
      <c r="B287" s="51"/>
      <c r="C287" s="51"/>
      <c r="D287" s="51"/>
      <c r="E287" s="51"/>
      <c r="H287" s="52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X287" s="51"/>
      <c r="Y287" s="51"/>
      <c r="Z287" s="51"/>
      <c r="AA287" s="51"/>
      <c r="AB287" s="51"/>
      <c r="AC287" s="51"/>
      <c r="AD287" s="51"/>
    </row>
    <row r="288" spans="1:30" x14ac:dyDescent="0.3">
      <c r="A288" s="51"/>
      <c r="B288" s="51"/>
      <c r="C288" s="51"/>
      <c r="D288" s="51"/>
      <c r="E288" s="51"/>
      <c r="H288" s="52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X288" s="51"/>
      <c r="Y288" s="51"/>
      <c r="Z288" s="51"/>
      <c r="AA288" s="51"/>
      <c r="AB288" s="51"/>
      <c r="AC288" s="51"/>
      <c r="AD288" s="51"/>
    </row>
    <row r="289" spans="1:30" x14ac:dyDescent="0.3">
      <c r="A289" s="51"/>
      <c r="B289" s="51"/>
      <c r="C289" s="51"/>
      <c r="D289" s="51"/>
      <c r="E289" s="51"/>
      <c r="H289" s="52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X289" s="51"/>
      <c r="Y289" s="51"/>
      <c r="Z289" s="51"/>
      <c r="AA289" s="51"/>
      <c r="AB289" s="51"/>
      <c r="AC289" s="51"/>
      <c r="AD289" s="51"/>
    </row>
    <row r="290" spans="1:30" x14ac:dyDescent="0.3">
      <c r="A290" s="51"/>
      <c r="B290" s="51"/>
      <c r="C290" s="51"/>
      <c r="D290" s="51"/>
      <c r="E290" s="51"/>
      <c r="H290" s="52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X290" s="51"/>
      <c r="Y290" s="51"/>
      <c r="Z290" s="51"/>
      <c r="AA290" s="51"/>
      <c r="AB290" s="51"/>
      <c r="AC290" s="51"/>
      <c r="AD290" s="51"/>
    </row>
    <row r="291" spans="1:30" x14ac:dyDescent="0.3">
      <c r="A291" s="51"/>
      <c r="B291" s="51"/>
      <c r="C291" s="51"/>
      <c r="D291" s="51"/>
      <c r="E291" s="51"/>
      <c r="H291" s="52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X291" s="51"/>
      <c r="Y291" s="51"/>
      <c r="Z291" s="51"/>
      <c r="AA291" s="51"/>
      <c r="AB291" s="51"/>
      <c r="AC291" s="51"/>
      <c r="AD291" s="51"/>
    </row>
    <row r="292" spans="1:30" x14ac:dyDescent="0.3">
      <c r="A292" s="51"/>
      <c r="B292" s="51"/>
      <c r="C292" s="51"/>
      <c r="D292" s="51"/>
      <c r="E292" s="51"/>
      <c r="H292" s="52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X292" s="51"/>
      <c r="Y292" s="51"/>
      <c r="Z292" s="51"/>
      <c r="AA292" s="51"/>
      <c r="AB292" s="51"/>
      <c r="AC292" s="51"/>
      <c r="AD292" s="51"/>
    </row>
    <row r="293" spans="1:30" x14ac:dyDescent="0.3">
      <c r="A293" s="51"/>
      <c r="B293" s="51"/>
      <c r="C293" s="51"/>
      <c r="D293" s="51"/>
      <c r="E293" s="51"/>
      <c r="H293" s="52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X293" s="51"/>
      <c r="Y293" s="51"/>
      <c r="Z293" s="51"/>
      <c r="AA293" s="51"/>
      <c r="AB293" s="51"/>
      <c r="AC293" s="51"/>
      <c r="AD293" s="51"/>
    </row>
    <row r="294" spans="1:30" x14ac:dyDescent="0.3">
      <c r="A294" s="51"/>
      <c r="B294" s="51"/>
      <c r="C294" s="51"/>
      <c r="D294" s="51"/>
      <c r="E294" s="51"/>
      <c r="H294" s="52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X294" s="51"/>
      <c r="Y294" s="51"/>
      <c r="Z294" s="51"/>
      <c r="AA294" s="51"/>
      <c r="AB294" s="51"/>
      <c r="AC294" s="51"/>
      <c r="AD294" s="51"/>
    </row>
    <row r="295" spans="1:30" x14ac:dyDescent="0.3">
      <c r="A295" s="51"/>
      <c r="B295" s="51"/>
      <c r="C295" s="51"/>
      <c r="D295" s="51"/>
      <c r="E295" s="51"/>
      <c r="H295" s="52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X295" s="51"/>
      <c r="Y295" s="51"/>
      <c r="Z295" s="51"/>
      <c r="AA295" s="51"/>
      <c r="AB295" s="51"/>
      <c r="AC295" s="51"/>
      <c r="AD295" s="51"/>
    </row>
    <row r="296" spans="1:30" x14ac:dyDescent="0.3">
      <c r="A296" s="51"/>
      <c r="B296" s="51"/>
      <c r="C296" s="51"/>
      <c r="D296" s="51"/>
      <c r="E296" s="51"/>
      <c r="H296" s="52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X296" s="51"/>
      <c r="Y296" s="51"/>
      <c r="Z296" s="51"/>
      <c r="AA296" s="51"/>
      <c r="AB296" s="51"/>
      <c r="AC296" s="51"/>
      <c r="AD296" s="51"/>
    </row>
    <row r="297" spans="1:30" x14ac:dyDescent="0.3">
      <c r="A297" s="51"/>
      <c r="B297" s="51"/>
      <c r="C297" s="51"/>
      <c r="D297" s="51"/>
      <c r="E297" s="51"/>
      <c r="H297" s="52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X297" s="51"/>
      <c r="Y297" s="51"/>
      <c r="Z297" s="51"/>
      <c r="AA297" s="51"/>
      <c r="AB297" s="51"/>
      <c r="AC297" s="51"/>
      <c r="AD297" s="51"/>
    </row>
    <row r="298" spans="1:30" x14ac:dyDescent="0.3">
      <c r="A298" s="51"/>
      <c r="B298" s="51"/>
      <c r="C298" s="51"/>
      <c r="D298" s="51"/>
      <c r="E298" s="51"/>
      <c r="H298" s="52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X298" s="51"/>
      <c r="Y298" s="51"/>
      <c r="Z298" s="51"/>
      <c r="AA298" s="51"/>
      <c r="AB298" s="51"/>
      <c r="AC298" s="51"/>
      <c r="AD298" s="51"/>
    </row>
    <row r="299" spans="1:30" x14ac:dyDescent="0.3">
      <c r="A299" s="51"/>
      <c r="B299" s="51"/>
      <c r="C299" s="51"/>
      <c r="D299" s="51"/>
      <c r="E299" s="51"/>
      <c r="H299" s="52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X299" s="51"/>
      <c r="Y299" s="51"/>
      <c r="Z299" s="51"/>
      <c r="AA299" s="51"/>
      <c r="AB299" s="51"/>
      <c r="AC299" s="51"/>
      <c r="AD299" s="51"/>
    </row>
    <row r="300" spans="1:30" x14ac:dyDescent="0.3">
      <c r="A300" s="51"/>
      <c r="B300" s="51"/>
      <c r="C300" s="51"/>
      <c r="D300" s="51"/>
      <c r="E300" s="51"/>
      <c r="H300" s="52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X300" s="51"/>
      <c r="Y300" s="51"/>
      <c r="Z300" s="51"/>
      <c r="AA300" s="51"/>
      <c r="AB300" s="51"/>
      <c r="AC300" s="51"/>
      <c r="AD300" s="51"/>
    </row>
    <row r="301" spans="1:30" x14ac:dyDescent="0.3">
      <c r="A301" s="51"/>
      <c r="B301" s="51"/>
      <c r="C301" s="51"/>
      <c r="D301" s="51"/>
      <c r="E301" s="51"/>
      <c r="H301" s="52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X301" s="51"/>
      <c r="Y301" s="51"/>
      <c r="Z301" s="51"/>
      <c r="AA301" s="51"/>
      <c r="AB301" s="51"/>
      <c r="AC301" s="51"/>
      <c r="AD301" s="51"/>
    </row>
    <row r="302" spans="1:30" x14ac:dyDescent="0.3">
      <c r="A302" s="51"/>
      <c r="B302" s="51"/>
      <c r="C302" s="51"/>
      <c r="D302" s="51"/>
      <c r="E302" s="51"/>
      <c r="H302" s="52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X302" s="51"/>
      <c r="Y302" s="51"/>
      <c r="Z302" s="51"/>
      <c r="AA302" s="51"/>
      <c r="AB302" s="51"/>
      <c r="AC302" s="51"/>
      <c r="AD302" s="51"/>
    </row>
    <row r="303" spans="1:30" x14ac:dyDescent="0.3">
      <c r="A303" s="51"/>
      <c r="B303" s="51"/>
      <c r="C303" s="51"/>
      <c r="D303" s="51"/>
      <c r="E303" s="51"/>
      <c r="H303" s="52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X303" s="51"/>
      <c r="Y303" s="51"/>
      <c r="Z303" s="51"/>
      <c r="AA303" s="51"/>
      <c r="AB303" s="51"/>
      <c r="AC303" s="51"/>
      <c r="AD303" s="51"/>
    </row>
    <row r="304" spans="1:30" x14ac:dyDescent="0.3">
      <c r="A304" s="51"/>
      <c r="B304" s="51"/>
      <c r="C304" s="51"/>
      <c r="D304" s="51"/>
      <c r="E304" s="51"/>
      <c r="H304" s="52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X304" s="51"/>
      <c r="Y304" s="51"/>
      <c r="Z304" s="51"/>
      <c r="AA304" s="51"/>
      <c r="AB304" s="51"/>
      <c r="AC304" s="51"/>
      <c r="AD304" s="51"/>
    </row>
    <row r="305" spans="1:30" x14ac:dyDescent="0.3">
      <c r="A305" s="51"/>
      <c r="B305" s="51"/>
      <c r="C305" s="51"/>
      <c r="D305" s="51"/>
      <c r="E305" s="51"/>
      <c r="H305" s="52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X305" s="51"/>
      <c r="Y305" s="51"/>
      <c r="Z305" s="51"/>
      <c r="AA305" s="51"/>
      <c r="AB305" s="51"/>
      <c r="AC305" s="51"/>
      <c r="AD305" s="51"/>
    </row>
    <row r="306" spans="1:30" x14ac:dyDescent="0.3">
      <c r="A306" s="51"/>
      <c r="B306" s="51"/>
      <c r="C306" s="51"/>
      <c r="D306" s="51"/>
      <c r="E306" s="51"/>
      <c r="H306" s="52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X306" s="51"/>
      <c r="Y306" s="51"/>
      <c r="Z306" s="51"/>
      <c r="AA306" s="51"/>
      <c r="AB306" s="51"/>
      <c r="AC306" s="51"/>
      <c r="AD306" s="51"/>
    </row>
    <row r="307" spans="1:30" x14ac:dyDescent="0.3">
      <c r="A307" s="51"/>
      <c r="B307" s="51"/>
      <c r="C307" s="51"/>
      <c r="D307" s="51"/>
      <c r="E307" s="51"/>
      <c r="H307" s="52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X307" s="51"/>
      <c r="Y307" s="51"/>
      <c r="Z307" s="51"/>
      <c r="AA307" s="51"/>
      <c r="AB307" s="51"/>
      <c r="AC307" s="51"/>
      <c r="AD307" s="51"/>
    </row>
    <row r="308" spans="1:30" x14ac:dyDescent="0.3">
      <c r="A308" s="51"/>
      <c r="B308" s="51"/>
      <c r="C308" s="51"/>
      <c r="D308" s="51"/>
      <c r="E308" s="51"/>
      <c r="H308" s="52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X308" s="51"/>
      <c r="Y308" s="51"/>
      <c r="Z308" s="51"/>
      <c r="AA308" s="51"/>
      <c r="AB308" s="51"/>
      <c r="AC308" s="51"/>
      <c r="AD308" s="51"/>
    </row>
    <row r="309" spans="1:30" x14ac:dyDescent="0.3">
      <c r="A309" s="51"/>
      <c r="B309" s="51"/>
      <c r="C309" s="51"/>
      <c r="D309" s="51"/>
      <c r="E309" s="51"/>
      <c r="H309" s="52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X309" s="51"/>
      <c r="Y309" s="51"/>
      <c r="Z309" s="51"/>
      <c r="AA309" s="51"/>
      <c r="AB309" s="51"/>
      <c r="AC309" s="51"/>
      <c r="AD309" s="51"/>
    </row>
    <row r="310" spans="1:30" x14ac:dyDescent="0.3">
      <c r="A310" s="51"/>
      <c r="B310" s="51"/>
      <c r="C310" s="51"/>
      <c r="D310" s="51"/>
      <c r="E310" s="51"/>
      <c r="H310" s="52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X310" s="51"/>
      <c r="Y310" s="51"/>
      <c r="Z310" s="51"/>
      <c r="AA310" s="51"/>
      <c r="AB310" s="51"/>
      <c r="AC310" s="51"/>
      <c r="AD310" s="51"/>
    </row>
    <row r="311" spans="1:30" x14ac:dyDescent="0.3">
      <c r="A311" s="51"/>
      <c r="B311" s="51"/>
      <c r="C311" s="51"/>
      <c r="D311" s="51"/>
      <c r="E311" s="51"/>
      <c r="H311" s="52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X311" s="51"/>
      <c r="Y311" s="51"/>
      <c r="Z311" s="51"/>
      <c r="AA311" s="51"/>
      <c r="AB311" s="51"/>
      <c r="AC311" s="51"/>
      <c r="AD311" s="51"/>
    </row>
    <row r="312" spans="1:30" x14ac:dyDescent="0.3">
      <c r="A312" s="51"/>
      <c r="B312" s="51"/>
      <c r="C312" s="51"/>
      <c r="D312" s="51"/>
      <c r="E312" s="51"/>
      <c r="H312" s="52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X312" s="51"/>
      <c r="Y312" s="51"/>
      <c r="Z312" s="51"/>
      <c r="AA312" s="51"/>
      <c r="AB312" s="51"/>
      <c r="AC312" s="51"/>
      <c r="AD312" s="51"/>
    </row>
    <row r="313" spans="1:30" x14ac:dyDescent="0.3">
      <c r="A313" s="51"/>
      <c r="B313" s="51"/>
      <c r="C313" s="51"/>
      <c r="D313" s="51"/>
      <c r="E313" s="51"/>
      <c r="H313" s="52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X313" s="51"/>
      <c r="Y313" s="51"/>
      <c r="Z313" s="51"/>
      <c r="AA313" s="51"/>
      <c r="AB313" s="51"/>
      <c r="AC313" s="51"/>
      <c r="AD313" s="51"/>
    </row>
    <row r="314" spans="1:30" x14ac:dyDescent="0.3">
      <c r="A314" s="51"/>
      <c r="B314" s="51"/>
      <c r="C314" s="51"/>
      <c r="D314" s="51"/>
      <c r="E314" s="51"/>
      <c r="H314" s="52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X314" s="51"/>
      <c r="Y314" s="51"/>
      <c r="Z314" s="51"/>
      <c r="AA314" s="51"/>
      <c r="AB314" s="51"/>
      <c r="AC314" s="51"/>
      <c r="AD314" s="51"/>
    </row>
    <row r="315" spans="1:30" x14ac:dyDescent="0.3">
      <c r="A315" s="51"/>
      <c r="B315" s="51"/>
      <c r="C315" s="51"/>
      <c r="D315" s="51"/>
      <c r="E315" s="51"/>
      <c r="H315" s="52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X315" s="51"/>
      <c r="Y315" s="51"/>
      <c r="Z315" s="51"/>
      <c r="AA315" s="51"/>
      <c r="AB315" s="51"/>
      <c r="AC315" s="51"/>
      <c r="AD315" s="51"/>
    </row>
    <row r="316" spans="1:30" x14ac:dyDescent="0.3">
      <c r="A316" s="51"/>
      <c r="B316" s="51"/>
      <c r="C316" s="51"/>
      <c r="D316" s="51"/>
      <c r="E316" s="51"/>
      <c r="H316" s="52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X316" s="51"/>
      <c r="Y316" s="51"/>
      <c r="Z316" s="51"/>
      <c r="AA316" s="51"/>
      <c r="AB316" s="51"/>
      <c r="AC316" s="51"/>
      <c r="AD316" s="51"/>
    </row>
    <row r="317" spans="1:30" x14ac:dyDescent="0.3">
      <c r="A317" s="51"/>
      <c r="B317" s="51"/>
      <c r="C317" s="51"/>
      <c r="D317" s="51"/>
      <c r="E317" s="51"/>
      <c r="H317" s="52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X317" s="51"/>
      <c r="Y317" s="51"/>
      <c r="Z317" s="51"/>
      <c r="AA317" s="51"/>
      <c r="AB317" s="51"/>
      <c r="AC317" s="51"/>
      <c r="AD317" s="51"/>
    </row>
    <row r="318" spans="1:30" x14ac:dyDescent="0.3">
      <c r="A318" s="51"/>
      <c r="B318" s="51"/>
      <c r="C318" s="51"/>
      <c r="D318" s="51"/>
      <c r="E318" s="51"/>
      <c r="H318" s="52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X318" s="51"/>
      <c r="Y318" s="51"/>
      <c r="Z318" s="51"/>
      <c r="AA318" s="51"/>
      <c r="AB318" s="51"/>
      <c r="AC318" s="51"/>
      <c r="AD318" s="51"/>
    </row>
    <row r="319" spans="1:30" x14ac:dyDescent="0.3">
      <c r="A319" s="51"/>
      <c r="B319" s="51"/>
      <c r="C319" s="51"/>
      <c r="D319" s="51"/>
      <c r="E319" s="51"/>
      <c r="H319" s="52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X319" s="51"/>
      <c r="Y319" s="51"/>
      <c r="Z319" s="51"/>
      <c r="AA319" s="51"/>
      <c r="AB319" s="51"/>
      <c r="AC319" s="51"/>
      <c r="AD319" s="51"/>
    </row>
    <row r="320" spans="1:30" x14ac:dyDescent="0.3">
      <c r="A320" s="51"/>
      <c r="B320" s="51"/>
      <c r="C320" s="51"/>
      <c r="D320" s="51"/>
      <c r="E320" s="51"/>
      <c r="H320" s="52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X320" s="51"/>
      <c r="Y320" s="51"/>
      <c r="Z320" s="51"/>
      <c r="AA320" s="51"/>
      <c r="AB320" s="51"/>
      <c r="AC320" s="51"/>
      <c r="AD320" s="51"/>
    </row>
    <row r="321" spans="1:30" x14ac:dyDescent="0.3">
      <c r="A321" s="51"/>
      <c r="B321" s="51"/>
      <c r="C321" s="51"/>
      <c r="D321" s="51"/>
      <c r="E321" s="51"/>
      <c r="H321" s="52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X321" s="51"/>
      <c r="Y321" s="51"/>
      <c r="Z321" s="51"/>
      <c r="AA321" s="51"/>
      <c r="AB321" s="51"/>
      <c r="AC321" s="51"/>
      <c r="AD321" s="51"/>
    </row>
    <row r="322" spans="1:30" x14ac:dyDescent="0.3">
      <c r="A322" s="51"/>
      <c r="B322" s="51"/>
      <c r="C322" s="51"/>
      <c r="D322" s="51"/>
      <c r="E322" s="51"/>
      <c r="H322" s="52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X322" s="51"/>
      <c r="Y322" s="51"/>
      <c r="Z322" s="51"/>
      <c r="AA322" s="51"/>
      <c r="AB322" s="51"/>
      <c r="AC322" s="51"/>
      <c r="AD322" s="51"/>
    </row>
    <row r="323" spans="1:30" x14ac:dyDescent="0.3">
      <c r="A323" s="51"/>
      <c r="B323" s="51"/>
      <c r="C323" s="51"/>
      <c r="D323" s="51"/>
      <c r="E323" s="51"/>
      <c r="H323" s="52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X323" s="51"/>
      <c r="Y323" s="51"/>
      <c r="Z323" s="51"/>
      <c r="AA323" s="51"/>
      <c r="AB323" s="51"/>
      <c r="AC323" s="51"/>
      <c r="AD323" s="51"/>
    </row>
    <row r="324" spans="1:30" x14ac:dyDescent="0.3">
      <c r="A324" s="51"/>
      <c r="B324" s="51"/>
      <c r="C324" s="51"/>
      <c r="D324" s="51"/>
      <c r="E324" s="51"/>
      <c r="H324" s="52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X324" s="51"/>
      <c r="Y324" s="51"/>
      <c r="Z324" s="51"/>
      <c r="AA324" s="51"/>
      <c r="AB324" s="51"/>
      <c r="AC324" s="51"/>
      <c r="AD324" s="51"/>
    </row>
    <row r="325" spans="1:30" x14ac:dyDescent="0.3">
      <c r="A325" s="51"/>
      <c r="B325" s="51"/>
      <c r="C325" s="51"/>
      <c r="D325" s="51"/>
      <c r="E325" s="51"/>
      <c r="H325" s="52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X325" s="51"/>
      <c r="Y325" s="51"/>
      <c r="Z325" s="51"/>
      <c r="AA325" s="51"/>
      <c r="AB325" s="51"/>
      <c r="AC325" s="51"/>
      <c r="AD325" s="51"/>
    </row>
    <row r="326" spans="1:30" x14ac:dyDescent="0.3">
      <c r="A326" s="51"/>
      <c r="B326" s="51"/>
      <c r="C326" s="51"/>
      <c r="D326" s="51"/>
      <c r="E326" s="51"/>
      <c r="H326" s="52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X326" s="51"/>
      <c r="Y326" s="51"/>
      <c r="Z326" s="51"/>
      <c r="AA326" s="51"/>
      <c r="AB326" s="51"/>
      <c r="AC326" s="51"/>
      <c r="AD326" s="51"/>
    </row>
    <row r="327" spans="1:30" x14ac:dyDescent="0.3">
      <c r="A327" s="51"/>
      <c r="B327" s="51"/>
      <c r="C327" s="51"/>
      <c r="D327" s="51"/>
      <c r="E327" s="51"/>
      <c r="H327" s="52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X327" s="51"/>
      <c r="Y327" s="51"/>
      <c r="Z327" s="51"/>
      <c r="AA327" s="51"/>
      <c r="AB327" s="51"/>
      <c r="AC327" s="51"/>
      <c r="AD327" s="51"/>
    </row>
    <row r="328" spans="1:30" x14ac:dyDescent="0.3">
      <c r="A328" s="51"/>
      <c r="B328" s="51"/>
      <c r="C328" s="51"/>
      <c r="D328" s="51"/>
      <c r="E328" s="51"/>
      <c r="H328" s="52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X328" s="51"/>
      <c r="Y328" s="51"/>
      <c r="Z328" s="51"/>
      <c r="AA328" s="51"/>
      <c r="AB328" s="51"/>
      <c r="AC328" s="51"/>
      <c r="AD328" s="51"/>
    </row>
    <row r="329" spans="1:30" x14ac:dyDescent="0.3">
      <c r="A329" s="51"/>
      <c r="B329" s="51"/>
      <c r="C329" s="51"/>
      <c r="D329" s="51"/>
      <c r="E329" s="51"/>
      <c r="H329" s="52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X329" s="51"/>
      <c r="Y329" s="51"/>
      <c r="Z329" s="51"/>
      <c r="AA329" s="51"/>
      <c r="AB329" s="51"/>
      <c r="AC329" s="51"/>
      <c r="AD329" s="51"/>
    </row>
    <row r="330" spans="1:30" x14ac:dyDescent="0.3">
      <c r="A330" s="51"/>
      <c r="B330" s="51"/>
      <c r="C330" s="51"/>
      <c r="D330" s="51"/>
      <c r="E330" s="51"/>
      <c r="H330" s="52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X330" s="51"/>
      <c r="Y330" s="51"/>
      <c r="Z330" s="51"/>
      <c r="AA330" s="51"/>
      <c r="AB330" s="51"/>
      <c r="AC330" s="51"/>
      <c r="AD330" s="51"/>
    </row>
    <row r="331" spans="1:30" x14ac:dyDescent="0.3">
      <c r="A331" s="51"/>
      <c r="B331" s="51"/>
      <c r="C331" s="51"/>
      <c r="D331" s="51"/>
      <c r="E331" s="51"/>
      <c r="H331" s="52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X331" s="51"/>
      <c r="Y331" s="51"/>
      <c r="Z331" s="51"/>
      <c r="AA331" s="51"/>
      <c r="AB331" s="51"/>
      <c r="AC331" s="51"/>
      <c r="AD331" s="51"/>
    </row>
    <row r="332" spans="1:30" x14ac:dyDescent="0.3">
      <c r="A332" s="51"/>
      <c r="B332" s="51"/>
      <c r="C332" s="51"/>
      <c r="D332" s="51"/>
      <c r="E332" s="51"/>
      <c r="H332" s="52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X332" s="51"/>
      <c r="Y332" s="51"/>
      <c r="Z332" s="51"/>
      <c r="AA332" s="51"/>
      <c r="AB332" s="51"/>
      <c r="AC332" s="51"/>
      <c r="AD332" s="51"/>
    </row>
    <row r="333" spans="1:30" x14ac:dyDescent="0.3">
      <c r="A333" s="51"/>
      <c r="B333" s="51"/>
      <c r="C333" s="51"/>
      <c r="D333" s="51"/>
      <c r="E333" s="51"/>
      <c r="H333" s="52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X333" s="51"/>
      <c r="Y333" s="51"/>
      <c r="Z333" s="51"/>
      <c r="AA333" s="51"/>
      <c r="AB333" s="51"/>
      <c r="AC333" s="51"/>
      <c r="AD333" s="51"/>
    </row>
    <row r="334" spans="1:30" x14ac:dyDescent="0.3">
      <c r="A334" s="51"/>
      <c r="B334" s="51"/>
      <c r="C334" s="51"/>
      <c r="D334" s="51"/>
      <c r="E334" s="51"/>
      <c r="H334" s="52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X334" s="51"/>
      <c r="Y334" s="51"/>
      <c r="Z334" s="51"/>
      <c r="AA334" s="51"/>
      <c r="AB334" s="51"/>
      <c r="AC334" s="51"/>
      <c r="AD334" s="51"/>
    </row>
    <row r="335" spans="1:30" x14ac:dyDescent="0.3">
      <c r="A335" s="51"/>
      <c r="B335" s="51"/>
      <c r="C335" s="51"/>
      <c r="D335" s="51"/>
      <c r="E335" s="51"/>
      <c r="H335" s="52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X335" s="51"/>
      <c r="Y335" s="51"/>
      <c r="Z335" s="51"/>
      <c r="AA335" s="51"/>
      <c r="AB335" s="51"/>
      <c r="AC335" s="51"/>
      <c r="AD335" s="51"/>
    </row>
    <row r="336" spans="1:30" x14ac:dyDescent="0.3">
      <c r="A336" s="51"/>
      <c r="B336" s="51"/>
      <c r="C336" s="51"/>
      <c r="D336" s="51"/>
      <c r="E336" s="51"/>
      <c r="H336" s="52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X336" s="51"/>
      <c r="Y336" s="51"/>
      <c r="Z336" s="51"/>
      <c r="AA336" s="51"/>
      <c r="AB336" s="51"/>
      <c r="AC336" s="51"/>
      <c r="AD336" s="51"/>
    </row>
    <row r="337" spans="1:30" x14ac:dyDescent="0.3">
      <c r="A337" s="51"/>
      <c r="B337" s="51"/>
      <c r="C337" s="51"/>
      <c r="D337" s="51"/>
      <c r="E337" s="51"/>
      <c r="H337" s="52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X337" s="51"/>
      <c r="Y337" s="51"/>
      <c r="Z337" s="51"/>
      <c r="AA337" s="51"/>
      <c r="AB337" s="51"/>
      <c r="AC337" s="51"/>
      <c r="AD337" s="51"/>
    </row>
    <row r="338" spans="1:30" x14ac:dyDescent="0.3">
      <c r="A338" s="51"/>
      <c r="B338" s="51"/>
      <c r="C338" s="51"/>
      <c r="D338" s="51"/>
      <c r="E338" s="51"/>
      <c r="H338" s="52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X338" s="51"/>
      <c r="Y338" s="51"/>
      <c r="Z338" s="51"/>
      <c r="AA338" s="51"/>
      <c r="AB338" s="51"/>
      <c r="AC338" s="51"/>
      <c r="AD338" s="51"/>
    </row>
    <row r="339" spans="1:30" x14ac:dyDescent="0.3">
      <c r="A339" s="51"/>
      <c r="B339" s="51"/>
      <c r="C339" s="51"/>
      <c r="D339" s="51"/>
      <c r="E339" s="51"/>
      <c r="H339" s="52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X339" s="51"/>
      <c r="Y339" s="51"/>
      <c r="Z339" s="51"/>
      <c r="AA339" s="51"/>
      <c r="AB339" s="51"/>
      <c r="AC339" s="51"/>
      <c r="AD339" s="51"/>
    </row>
    <row r="340" spans="1:30" x14ac:dyDescent="0.3">
      <c r="A340" s="51"/>
      <c r="B340" s="51"/>
      <c r="C340" s="51"/>
      <c r="D340" s="51"/>
      <c r="E340" s="51"/>
      <c r="H340" s="52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X340" s="51"/>
      <c r="Y340" s="51"/>
      <c r="Z340" s="51"/>
      <c r="AA340" s="51"/>
      <c r="AB340" s="51"/>
      <c r="AC340" s="51"/>
      <c r="AD340" s="51"/>
    </row>
    <row r="341" spans="1:30" x14ac:dyDescent="0.3">
      <c r="A341" s="51"/>
      <c r="B341" s="51"/>
      <c r="C341" s="51"/>
      <c r="D341" s="51"/>
      <c r="E341" s="51"/>
      <c r="H341" s="52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X341" s="51"/>
      <c r="Y341" s="51"/>
      <c r="Z341" s="51"/>
      <c r="AA341" s="51"/>
      <c r="AB341" s="51"/>
      <c r="AC341" s="51"/>
      <c r="AD341" s="51"/>
    </row>
    <row r="342" spans="1:30" x14ac:dyDescent="0.3">
      <c r="A342" s="51"/>
      <c r="B342" s="51"/>
      <c r="C342" s="51"/>
      <c r="D342" s="51"/>
      <c r="E342" s="51"/>
      <c r="H342" s="52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X342" s="51"/>
      <c r="Y342" s="51"/>
      <c r="Z342" s="51"/>
      <c r="AA342" s="51"/>
      <c r="AB342" s="51"/>
      <c r="AC342" s="51"/>
      <c r="AD342" s="51"/>
    </row>
    <row r="343" spans="1:30" x14ac:dyDescent="0.3">
      <c r="A343" s="51"/>
      <c r="B343" s="51"/>
      <c r="C343" s="51"/>
      <c r="D343" s="51"/>
      <c r="E343" s="51"/>
      <c r="H343" s="52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X343" s="51"/>
      <c r="Y343" s="51"/>
      <c r="Z343" s="51"/>
      <c r="AA343" s="51"/>
      <c r="AB343" s="51"/>
      <c r="AC343" s="51"/>
      <c r="AD343" s="51"/>
    </row>
    <row r="344" spans="1:30" x14ac:dyDescent="0.3">
      <c r="A344" s="51"/>
      <c r="B344" s="51"/>
      <c r="C344" s="51"/>
      <c r="D344" s="51"/>
      <c r="E344" s="51"/>
      <c r="H344" s="52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X344" s="51"/>
      <c r="Y344" s="51"/>
      <c r="Z344" s="51"/>
      <c r="AA344" s="51"/>
      <c r="AB344" s="51"/>
      <c r="AC344" s="51"/>
      <c r="AD344" s="51"/>
    </row>
    <row r="345" spans="1:30" x14ac:dyDescent="0.3">
      <c r="A345" s="51"/>
      <c r="B345" s="51"/>
      <c r="C345" s="51"/>
      <c r="D345" s="51"/>
      <c r="E345" s="51"/>
      <c r="H345" s="52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X345" s="51"/>
      <c r="Y345" s="51"/>
      <c r="Z345" s="51"/>
      <c r="AA345" s="51"/>
      <c r="AB345" s="51"/>
      <c r="AC345" s="51"/>
      <c r="AD345" s="51"/>
    </row>
    <row r="346" spans="1:30" x14ac:dyDescent="0.3">
      <c r="A346" s="51"/>
      <c r="B346" s="51"/>
      <c r="C346" s="51"/>
      <c r="D346" s="51"/>
      <c r="E346" s="51"/>
      <c r="H346" s="52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X346" s="51"/>
      <c r="Y346" s="51"/>
      <c r="Z346" s="51"/>
      <c r="AA346" s="51"/>
      <c r="AB346" s="51"/>
      <c r="AC346" s="51"/>
      <c r="AD346" s="51"/>
    </row>
    <row r="347" spans="1:30" x14ac:dyDescent="0.3">
      <c r="A347" s="51"/>
      <c r="B347" s="51"/>
      <c r="C347" s="51"/>
      <c r="D347" s="51"/>
      <c r="E347" s="51"/>
      <c r="H347" s="52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X347" s="51"/>
      <c r="Y347" s="51"/>
      <c r="Z347" s="51"/>
      <c r="AA347" s="51"/>
      <c r="AB347" s="51"/>
      <c r="AC347" s="51"/>
      <c r="AD347" s="51"/>
    </row>
    <row r="348" spans="1:30" x14ac:dyDescent="0.3">
      <c r="A348" s="51"/>
      <c r="B348" s="51"/>
      <c r="C348" s="51"/>
      <c r="D348" s="51"/>
      <c r="E348" s="51"/>
      <c r="H348" s="52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X348" s="51"/>
      <c r="Y348" s="51"/>
      <c r="Z348" s="51"/>
      <c r="AA348" s="51"/>
      <c r="AB348" s="51"/>
      <c r="AC348" s="51"/>
      <c r="AD348" s="51"/>
    </row>
    <row r="349" spans="1:30" x14ac:dyDescent="0.3">
      <c r="A349" s="51"/>
      <c r="B349" s="51"/>
      <c r="C349" s="51"/>
      <c r="D349" s="51"/>
      <c r="E349" s="51"/>
      <c r="H349" s="52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X349" s="51"/>
      <c r="Y349" s="51"/>
      <c r="Z349" s="51"/>
      <c r="AA349" s="51"/>
      <c r="AB349" s="51"/>
      <c r="AC349" s="51"/>
      <c r="AD349" s="51"/>
    </row>
    <row r="350" spans="1:30" x14ac:dyDescent="0.3">
      <c r="A350" s="51"/>
      <c r="B350" s="51"/>
      <c r="C350" s="51"/>
      <c r="D350" s="51"/>
      <c r="E350" s="51"/>
      <c r="H350" s="52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X350" s="51"/>
      <c r="Y350" s="51"/>
      <c r="Z350" s="51"/>
      <c r="AA350" s="51"/>
      <c r="AB350" s="51"/>
      <c r="AC350" s="51"/>
      <c r="AD350" s="51"/>
    </row>
    <row r="351" spans="1:30" x14ac:dyDescent="0.3">
      <c r="A351" s="51"/>
      <c r="B351" s="51"/>
      <c r="C351" s="51"/>
      <c r="D351" s="51"/>
      <c r="E351" s="51"/>
      <c r="H351" s="52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X351" s="51"/>
      <c r="Y351" s="51"/>
      <c r="Z351" s="51"/>
      <c r="AA351" s="51"/>
      <c r="AB351" s="51"/>
      <c r="AC351" s="51"/>
      <c r="AD351" s="51"/>
    </row>
    <row r="352" spans="1:30" x14ac:dyDescent="0.3">
      <c r="A352" s="51"/>
      <c r="B352" s="51"/>
      <c r="C352" s="51"/>
      <c r="D352" s="51"/>
      <c r="E352" s="51"/>
      <c r="H352" s="52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X352" s="51"/>
      <c r="Y352" s="51"/>
      <c r="Z352" s="51"/>
      <c r="AA352" s="51"/>
      <c r="AB352" s="51"/>
      <c r="AC352" s="51"/>
      <c r="AD352" s="51"/>
    </row>
    <row r="353" spans="1:30" x14ac:dyDescent="0.3">
      <c r="A353" s="51"/>
      <c r="B353" s="51"/>
      <c r="C353" s="51"/>
      <c r="D353" s="51"/>
      <c r="E353" s="51"/>
      <c r="H353" s="52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X353" s="51"/>
      <c r="Y353" s="51"/>
      <c r="Z353" s="51"/>
      <c r="AA353" s="51"/>
      <c r="AB353" s="51"/>
      <c r="AC353" s="51"/>
      <c r="AD353" s="51"/>
    </row>
    <row r="354" spans="1:30" x14ac:dyDescent="0.3">
      <c r="A354" s="51"/>
      <c r="B354" s="51"/>
      <c r="C354" s="51"/>
      <c r="D354" s="51"/>
      <c r="E354" s="51"/>
      <c r="H354" s="52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X354" s="51"/>
      <c r="Y354" s="51"/>
      <c r="Z354" s="51"/>
      <c r="AA354" s="51"/>
      <c r="AB354" s="51"/>
      <c r="AC354" s="51"/>
      <c r="AD354" s="51"/>
    </row>
    <row r="355" spans="1:30" x14ac:dyDescent="0.3">
      <c r="A355" s="51"/>
      <c r="B355" s="51"/>
      <c r="C355" s="51"/>
      <c r="D355" s="51"/>
      <c r="E355" s="51"/>
      <c r="H355" s="52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X355" s="51"/>
      <c r="Y355" s="51"/>
      <c r="Z355" s="51"/>
      <c r="AA355" s="51"/>
      <c r="AB355" s="51"/>
      <c r="AC355" s="51"/>
      <c r="AD355" s="51"/>
    </row>
    <row r="356" spans="1:30" x14ac:dyDescent="0.3">
      <c r="A356" s="51"/>
      <c r="B356" s="51"/>
      <c r="C356" s="51"/>
      <c r="D356" s="51"/>
      <c r="E356" s="51"/>
      <c r="H356" s="52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X356" s="51"/>
      <c r="Y356" s="51"/>
      <c r="Z356" s="51"/>
      <c r="AA356" s="51"/>
      <c r="AB356" s="51"/>
      <c r="AC356" s="51"/>
      <c r="AD356" s="51"/>
    </row>
    <row r="357" spans="1:30" x14ac:dyDescent="0.3">
      <c r="A357" s="51"/>
      <c r="B357" s="51"/>
      <c r="C357" s="51"/>
      <c r="D357" s="51"/>
      <c r="E357" s="51"/>
      <c r="H357" s="52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X357" s="51"/>
      <c r="Y357" s="51"/>
      <c r="Z357" s="51"/>
      <c r="AA357" s="51"/>
      <c r="AB357" s="51"/>
      <c r="AC357" s="51"/>
      <c r="AD357" s="51"/>
    </row>
    <row r="358" spans="1:30" x14ac:dyDescent="0.3">
      <c r="A358" s="51"/>
      <c r="B358" s="51"/>
      <c r="C358" s="51"/>
      <c r="D358" s="51"/>
      <c r="E358" s="51"/>
      <c r="H358" s="52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X358" s="51"/>
      <c r="Y358" s="51"/>
      <c r="Z358" s="51"/>
      <c r="AA358" s="51"/>
      <c r="AB358" s="51"/>
      <c r="AC358" s="51"/>
      <c r="AD358" s="51"/>
    </row>
    <row r="359" spans="1:30" x14ac:dyDescent="0.3">
      <c r="A359" s="51"/>
      <c r="B359" s="51"/>
      <c r="C359" s="51"/>
      <c r="D359" s="51"/>
      <c r="E359" s="51"/>
      <c r="H359" s="52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X359" s="51"/>
      <c r="Y359" s="51"/>
      <c r="Z359" s="51"/>
      <c r="AA359" s="51"/>
      <c r="AB359" s="51"/>
      <c r="AC359" s="51"/>
      <c r="AD359" s="51"/>
    </row>
    <row r="360" spans="1:30" x14ac:dyDescent="0.3">
      <c r="A360" s="51"/>
      <c r="B360" s="51"/>
      <c r="C360" s="51"/>
      <c r="D360" s="51"/>
      <c r="E360" s="51"/>
      <c r="H360" s="52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X360" s="51"/>
      <c r="Y360" s="51"/>
      <c r="Z360" s="51"/>
      <c r="AA360" s="51"/>
      <c r="AB360" s="51"/>
      <c r="AC360" s="51"/>
      <c r="AD360" s="51"/>
    </row>
    <row r="361" spans="1:30" x14ac:dyDescent="0.3">
      <c r="A361" s="51"/>
      <c r="B361" s="51"/>
      <c r="C361" s="51"/>
      <c r="D361" s="51"/>
      <c r="E361" s="51"/>
      <c r="H361" s="52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X361" s="51"/>
      <c r="Y361" s="51"/>
      <c r="Z361" s="51"/>
      <c r="AA361" s="51"/>
      <c r="AB361" s="51"/>
      <c r="AC361" s="51"/>
      <c r="AD361" s="51"/>
    </row>
    <row r="362" spans="1:30" x14ac:dyDescent="0.3">
      <c r="A362" s="51"/>
      <c r="B362" s="51"/>
      <c r="C362" s="51"/>
      <c r="D362" s="51"/>
      <c r="E362" s="51"/>
      <c r="H362" s="52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X362" s="51"/>
      <c r="Y362" s="51"/>
      <c r="Z362" s="51"/>
      <c r="AA362" s="51"/>
      <c r="AB362" s="51"/>
      <c r="AC362" s="51"/>
      <c r="AD362" s="51"/>
    </row>
    <row r="363" spans="1:30" x14ac:dyDescent="0.3">
      <c r="A363" s="51"/>
      <c r="B363" s="51"/>
      <c r="C363" s="51"/>
      <c r="D363" s="51"/>
      <c r="E363" s="51"/>
      <c r="H363" s="52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X363" s="51"/>
      <c r="Y363" s="51"/>
      <c r="Z363" s="51"/>
      <c r="AA363" s="51"/>
      <c r="AB363" s="51"/>
      <c r="AC363" s="51"/>
      <c r="AD363" s="51"/>
    </row>
    <row r="364" spans="1:30" x14ac:dyDescent="0.3">
      <c r="A364" s="51"/>
      <c r="B364" s="51"/>
      <c r="C364" s="51"/>
      <c r="D364" s="51"/>
      <c r="E364" s="51"/>
      <c r="H364" s="52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X364" s="51"/>
      <c r="Y364" s="51"/>
      <c r="Z364" s="51"/>
      <c r="AA364" s="51"/>
      <c r="AB364" s="51"/>
      <c r="AC364" s="51"/>
      <c r="AD364" s="51"/>
    </row>
    <row r="365" spans="1:30" x14ac:dyDescent="0.3">
      <c r="A365" s="51"/>
      <c r="B365" s="51"/>
      <c r="C365" s="51"/>
      <c r="D365" s="51"/>
      <c r="E365" s="51"/>
      <c r="H365" s="52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X365" s="51"/>
      <c r="Y365" s="51"/>
      <c r="Z365" s="51"/>
      <c r="AA365" s="51"/>
      <c r="AB365" s="51"/>
      <c r="AC365" s="51"/>
      <c r="AD365" s="51"/>
    </row>
    <row r="366" spans="1:30" x14ac:dyDescent="0.3">
      <c r="A366" s="51"/>
      <c r="B366" s="51"/>
      <c r="C366" s="51"/>
      <c r="D366" s="51"/>
      <c r="E366" s="51"/>
      <c r="H366" s="52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X366" s="51"/>
      <c r="Y366" s="51"/>
      <c r="Z366" s="51"/>
      <c r="AA366" s="51"/>
      <c r="AB366" s="51"/>
      <c r="AC366" s="51"/>
      <c r="AD366" s="51"/>
    </row>
    <row r="367" spans="1:30" x14ac:dyDescent="0.3">
      <c r="A367" s="51"/>
      <c r="B367" s="51"/>
      <c r="C367" s="51"/>
      <c r="D367" s="51"/>
      <c r="E367" s="51"/>
      <c r="H367" s="52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X367" s="51"/>
      <c r="Y367" s="51"/>
      <c r="Z367" s="51"/>
      <c r="AA367" s="51"/>
      <c r="AB367" s="51"/>
      <c r="AC367" s="51"/>
      <c r="AD367" s="51"/>
    </row>
    <row r="368" spans="1:30" x14ac:dyDescent="0.3">
      <c r="A368" s="51"/>
      <c r="B368" s="51"/>
      <c r="C368" s="51"/>
      <c r="D368" s="51"/>
      <c r="E368" s="51"/>
      <c r="H368" s="52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X368" s="51"/>
      <c r="Y368" s="51"/>
      <c r="Z368" s="51"/>
      <c r="AA368" s="51"/>
      <c r="AB368" s="51"/>
      <c r="AC368" s="51"/>
      <c r="AD368" s="51"/>
    </row>
    <row r="369" spans="1:30" x14ac:dyDescent="0.3">
      <c r="A369" s="51"/>
      <c r="B369" s="51"/>
      <c r="C369" s="51"/>
      <c r="D369" s="51"/>
      <c r="E369" s="51"/>
      <c r="H369" s="52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X369" s="51"/>
      <c r="Y369" s="51"/>
      <c r="Z369" s="51"/>
      <c r="AA369" s="51"/>
      <c r="AB369" s="51"/>
      <c r="AC369" s="51"/>
      <c r="AD369" s="51"/>
    </row>
    <row r="370" spans="1:30" x14ac:dyDescent="0.3">
      <c r="A370" s="51"/>
      <c r="B370" s="51"/>
      <c r="C370" s="51"/>
      <c r="D370" s="51"/>
      <c r="E370" s="51"/>
      <c r="H370" s="52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X370" s="51"/>
      <c r="Y370" s="51"/>
      <c r="Z370" s="51"/>
      <c r="AA370" s="51"/>
      <c r="AB370" s="51"/>
      <c r="AC370" s="51"/>
      <c r="AD370" s="51"/>
    </row>
    <row r="371" spans="1:30" x14ac:dyDescent="0.3">
      <c r="A371" s="51"/>
      <c r="B371" s="51"/>
      <c r="C371" s="51"/>
      <c r="D371" s="51"/>
      <c r="E371" s="51"/>
      <c r="H371" s="52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X371" s="51"/>
      <c r="Y371" s="51"/>
      <c r="Z371" s="51"/>
      <c r="AA371" s="51"/>
      <c r="AB371" s="51"/>
      <c r="AC371" s="51"/>
      <c r="AD371" s="51"/>
    </row>
    <row r="372" spans="1:30" x14ac:dyDescent="0.3">
      <c r="A372" s="51"/>
      <c r="B372" s="51"/>
      <c r="C372" s="51"/>
      <c r="D372" s="51"/>
      <c r="E372" s="51"/>
      <c r="H372" s="52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X372" s="51"/>
      <c r="Y372" s="51"/>
      <c r="Z372" s="51"/>
      <c r="AA372" s="51"/>
      <c r="AB372" s="51"/>
      <c r="AC372" s="51"/>
      <c r="AD372" s="51"/>
    </row>
    <row r="373" spans="1:30" x14ac:dyDescent="0.3">
      <c r="A373" s="51"/>
      <c r="B373" s="51"/>
      <c r="C373" s="51"/>
      <c r="D373" s="51"/>
      <c r="E373" s="51"/>
      <c r="H373" s="52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X373" s="51"/>
      <c r="Y373" s="51"/>
      <c r="Z373" s="51"/>
      <c r="AA373" s="51"/>
      <c r="AB373" s="51"/>
      <c r="AC373" s="51"/>
      <c r="AD373" s="51"/>
    </row>
    <row r="374" spans="1:30" x14ac:dyDescent="0.3">
      <c r="A374" s="51"/>
      <c r="B374" s="51"/>
      <c r="C374" s="51"/>
      <c r="D374" s="51"/>
      <c r="E374" s="51"/>
      <c r="H374" s="52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X374" s="51"/>
      <c r="Y374" s="51"/>
      <c r="Z374" s="51"/>
      <c r="AA374" s="51"/>
      <c r="AB374" s="51"/>
      <c r="AC374" s="51"/>
      <c r="AD374" s="51"/>
    </row>
    <row r="375" spans="1:30" x14ac:dyDescent="0.3">
      <c r="A375" s="51"/>
      <c r="B375" s="51"/>
      <c r="C375" s="51"/>
      <c r="D375" s="51"/>
      <c r="E375" s="51"/>
      <c r="H375" s="52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X375" s="51"/>
      <c r="Y375" s="51"/>
      <c r="Z375" s="51"/>
      <c r="AA375" s="51"/>
      <c r="AB375" s="51"/>
      <c r="AC375" s="51"/>
      <c r="AD375" s="51"/>
    </row>
    <row r="376" spans="1:30" x14ac:dyDescent="0.3">
      <c r="A376" s="51"/>
      <c r="B376" s="51"/>
      <c r="C376" s="51"/>
      <c r="D376" s="51"/>
      <c r="E376" s="51"/>
      <c r="H376" s="52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X376" s="51"/>
      <c r="Y376" s="51"/>
      <c r="Z376" s="51"/>
      <c r="AA376" s="51"/>
      <c r="AB376" s="51"/>
      <c r="AC376" s="51"/>
      <c r="AD376" s="51"/>
    </row>
    <row r="377" spans="1:30" x14ac:dyDescent="0.3">
      <c r="A377" s="51"/>
      <c r="B377" s="51"/>
      <c r="C377" s="51"/>
      <c r="D377" s="51"/>
      <c r="E377" s="51"/>
      <c r="H377" s="52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X377" s="51"/>
      <c r="Y377" s="51"/>
      <c r="Z377" s="51"/>
      <c r="AA377" s="51"/>
      <c r="AB377" s="51"/>
      <c r="AC377" s="51"/>
      <c r="AD377" s="51"/>
    </row>
    <row r="378" spans="1:30" x14ac:dyDescent="0.3">
      <c r="A378" s="51"/>
      <c r="B378" s="51"/>
      <c r="C378" s="51"/>
      <c r="D378" s="51"/>
      <c r="E378" s="51"/>
      <c r="H378" s="52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X378" s="51"/>
      <c r="Y378" s="51"/>
      <c r="Z378" s="51"/>
      <c r="AA378" s="51"/>
      <c r="AB378" s="51"/>
      <c r="AC378" s="51"/>
      <c r="AD378" s="51"/>
    </row>
    <row r="379" spans="1:30" x14ac:dyDescent="0.3">
      <c r="A379" s="51"/>
      <c r="B379" s="51"/>
      <c r="C379" s="51"/>
      <c r="D379" s="51"/>
      <c r="E379" s="51"/>
      <c r="H379" s="52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X379" s="51"/>
      <c r="Y379" s="51"/>
      <c r="Z379" s="51"/>
      <c r="AA379" s="51"/>
      <c r="AB379" s="51"/>
      <c r="AC379" s="51"/>
      <c r="AD379" s="51"/>
    </row>
    <row r="380" spans="1:30" x14ac:dyDescent="0.3">
      <c r="A380" s="51"/>
      <c r="B380" s="51"/>
      <c r="C380" s="51"/>
      <c r="D380" s="51"/>
      <c r="E380" s="51"/>
      <c r="H380" s="52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X380" s="51"/>
      <c r="Y380" s="51"/>
      <c r="Z380" s="51"/>
      <c r="AA380" s="51"/>
      <c r="AB380" s="51"/>
      <c r="AC380" s="51"/>
      <c r="AD380" s="51"/>
    </row>
    <row r="381" spans="1:30" x14ac:dyDescent="0.3">
      <c r="A381" s="51"/>
      <c r="B381" s="51"/>
      <c r="C381" s="51"/>
      <c r="D381" s="51"/>
      <c r="E381" s="51"/>
      <c r="H381" s="52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X381" s="51"/>
      <c r="Y381" s="51"/>
      <c r="Z381" s="51"/>
      <c r="AA381" s="51"/>
      <c r="AB381" s="51"/>
      <c r="AC381" s="51"/>
      <c r="AD381" s="51"/>
    </row>
    <row r="382" spans="1:30" x14ac:dyDescent="0.3">
      <c r="A382" s="51"/>
      <c r="B382" s="51"/>
      <c r="C382" s="51"/>
      <c r="D382" s="51"/>
      <c r="E382" s="51"/>
      <c r="H382" s="52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X382" s="51"/>
      <c r="Y382" s="51"/>
      <c r="Z382" s="51"/>
      <c r="AA382" s="51"/>
      <c r="AB382" s="51"/>
      <c r="AC382" s="51"/>
      <c r="AD382" s="51"/>
    </row>
    <row r="383" spans="1:30" x14ac:dyDescent="0.3">
      <c r="A383" s="51"/>
      <c r="B383" s="51"/>
      <c r="C383" s="51"/>
      <c r="D383" s="51"/>
      <c r="E383" s="51"/>
      <c r="H383" s="52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X383" s="51"/>
      <c r="Y383" s="51"/>
      <c r="Z383" s="51"/>
      <c r="AA383" s="51"/>
      <c r="AB383" s="51"/>
      <c r="AC383" s="51"/>
      <c r="AD383" s="51"/>
    </row>
    <row r="384" spans="1:30" x14ac:dyDescent="0.3">
      <c r="A384" s="51"/>
      <c r="B384" s="51"/>
      <c r="C384" s="51"/>
      <c r="D384" s="51"/>
      <c r="E384" s="51"/>
      <c r="H384" s="52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X384" s="51"/>
      <c r="Y384" s="51"/>
      <c r="Z384" s="51"/>
      <c r="AA384" s="51"/>
      <c r="AB384" s="51"/>
      <c r="AC384" s="51"/>
      <c r="AD384" s="51"/>
    </row>
    <row r="385" spans="1:30" x14ac:dyDescent="0.3">
      <c r="A385" s="51"/>
      <c r="B385" s="51"/>
      <c r="C385" s="51"/>
      <c r="D385" s="51"/>
      <c r="E385" s="51"/>
      <c r="H385" s="52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X385" s="51"/>
      <c r="Y385" s="51"/>
      <c r="Z385" s="51"/>
      <c r="AA385" s="51"/>
      <c r="AB385" s="51"/>
      <c r="AC385" s="51"/>
      <c r="AD385" s="51"/>
    </row>
    <row r="386" spans="1:30" x14ac:dyDescent="0.3">
      <c r="A386" s="51"/>
      <c r="B386" s="51"/>
      <c r="C386" s="51"/>
      <c r="D386" s="51"/>
      <c r="E386" s="51"/>
      <c r="H386" s="52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X386" s="51"/>
      <c r="Y386" s="51"/>
      <c r="Z386" s="51"/>
      <c r="AA386" s="51"/>
      <c r="AB386" s="51"/>
      <c r="AC386" s="51"/>
      <c r="AD386" s="51"/>
    </row>
    <row r="387" spans="1:30" x14ac:dyDescent="0.3">
      <c r="A387" s="51"/>
      <c r="B387" s="51"/>
      <c r="C387" s="51"/>
      <c r="D387" s="51"/>
      <c r="E387" s="51"/>
      <c r="H387" s="52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X387" s="51"/>
      <c r="Y387" s="51"/>
      <c r="Z387" s="51"/>
      <c r="AA387" s="51"/>
      <c r="AB387" s="51"/>
      <c r="AC387" s="51"/>
      <c r="AD387" s="51"/>
    </row>
    <row r="388" spans="1:30" x14ac:dyDescent="0.3">
      <c r="A388" s="51"/>
      <c r="B388" s="51"/>
      <c r="C388" s="51"/>
      <c r="D388" s="51"/>
      <c r="E388" s="51"/>
      <c r="H388" s="52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X388" s="51"/>
      <c r="Y388" s="51"/>
      <c r="Z388" s="51"/>
      <c r="AA388" s="51"/>
      <c r="AB388" s="51"/>
      <c r="AC388" s="51"/>
      <c r="AD388" s="51"/>
    </row>
    <row r="389" spans="1:30" x14ac:dyDescent="0.3">
      <c r="A389" s="51"/>
      <c r="B389" s="51"/>
      <c r="C389" s="51"/>
      <c r="D389" s="51"/>
      <c r="E389" s="51"/>
      <c r="H389" s="52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X389" s="51"/>
      <c r="Y389" s="51"/>
      <c r="Z389" s="51"/>
      <c r="AA389" s="51"/>
      <c r="AB389" s="51"/>
      <c r="AC389" s="51"/>
      <c r="AD389" s="51"/>
    </row>
    <row r="390" spans="1:30" x14ac:dyDescent="0.3">
      <c r="A390" s="51"/>
      <c r="B390" s="51"/>
      <c r="C390" s="51"/>
      <c r="D390" s="51"/>
      <c r="E390" s="51"/>
      <c r="H390" s="52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X390" s="51"/>
      <c r="Y390" s="51"/>
      <c r="Z390" s="51"/>
      <c r="AA390" s="51"/>
      <c r="AB390" s="51"/>
      <c r="AC390" s="51"/>
      <c r="AD390" s="51"/>
    </row>
    <row r="391" spans="1:30" x14ac:dyDescent="0.3">
      <c r="A391" s="51"/>
      <c r="B391" s="51"/>
      <c r="C391" s="51"/>
      <c r="D391" s="51"/>
      <c r="E391" s="51"/>
      <c r="H391" s="52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X391" s="51"/>
      <c r="Y391" s="51"/>
      <c r="Z391" s="51"/>
      <c r="AA391" s="51"/>
      <c r="AB391" s="51"/>
      <c r="AC391" s="51"/>
      <c r="AD391" s="51"/>
    </row>
    <row r="392" spans="1:30" x14ac:dyDescent="0.3">
      <c r="A392" s="51"/>
      <c r="B392" s="51"/>
      <c r="C392" s="51"/>
      <c r="D392" s="51"/>
      <c r="E392" s="51"/>
      <c r="H392" s="52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X392" s="51"/>
      <c r="Y392" s="51"/>
      <c r="Z392" s="51"/>
      <c r="AA392" s="51"/>
      <c r="AB392" s="51"/>
      <c r="AC392" s="51"/>
      <c r="AD392" s="51"/>
    </row>
    <row r="393" spans="1:30" x14ac:dyDescent="0.3">
      <c r="A393" s="51"/>
      <c r="B393" s="51"/>
      <c r="C393" s="51"/>
      <c r="D393" s="51"/>
      <c r="E393" s="51"/>
      <c r="H393" s="52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X393" s="51"/>
      <c r="Y393" s="51"/>
      <c r="Z393" s="51"/>
      <c r="AA393" s="51"/>
      <c r="AB393" s="51"/>
      <c r="AC393" s="51"/>
      <c r="AD393" s="51"/>
    </row>
    <row r="394" spans="1:30" x14ac:dyDescent="0.3">
      <c r="A394" s="51"/>
      <c r="B394" s="51"/>
      <c r="C394" s="51"/>
      <c r="D394" s="51"/>
      <c r="E394" s="51"/>
      <c r="H394" s="52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X394" s="51"/>
      <c r="Y394" s="51"/>
      <c r="Z394" s="51"/>
      <c r="AA394" s="51"/>
      <c r="AB394" s="51"/>
      <c r="AC394" s="51"/>
      <c r="AD394" s="51"/>
    </row>
    <row r="395" spans="1:30" x14ac:dyDescent="0.3">
      <c r="A395" s="51"/>
      <c r="B395" s="51"/>
      <c r="C395" s="51"/>
      <c r="D395" s="51"/>
      <c r="E395" s="51"/>
      <c r="H395" s="52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X395" s="51"/>
      <c r="Y395" s="51"/>
      <c r="Z395" s="51"/>
      <c r="AA395" s="51"/>
      <c r="AB395" s="51"/>
      <c r="AC395" s="51"/>
      <c r="AD395" s="51"/>
    </row>
    <row r="396" spans="1:30" x14ac:dyDescent="0.3">
      <c r="A396" s="51"/>
      <c r="B396" s="51"/>
      <c r="C396" s="51"/>
      <c r="D396" s="51"/>
      <c r="E396" s="51"/>
      <c r="H396" s="52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X396" s="51"/>
      <c r="Y396" s="51"/>
      <c r="Z396" s="51"/>
      <c r="AA396" s="51"/>
      <c r="AB396" s="51"/>
      <c r="AC396" s="51"/>
      <c r="AD396" s="51"/>
    </row>
    <row r="397" spans="1:30" x14ac:dyDescent="0.3">
      <c r="A397" s="51"/>
      <c r="B397" s="51"/>
      <c r="C397" s="51"/>
      <c r="D397" s="51"/>
      <c r="E397" s="51"/>
      <c r="H397" s="52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X397" s="51"/>
      <c r="Y397" s="51"/>
      <c r="Z397" s="51"/>
      <c r="AA397" s="51"/>
      <c r="AB397" s="51"/>
      <c r="AC397" s="51"/>
      <c r="AD397" s="51"/>
    </row>
    <row r="398" spans="1:30" x14ac:dyDescent="0.3">
      <c r="A398" s="51"/>
      <c r="B398" s="51"/>
      <c r="C398" s="51"/>
      <c r="D398" s="51"/>
      <c r="E398" s="51"/>
      <c r="H398" s="52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X398" s="51"/>
      <c r="Y398" s="51"/>
      <c r="Z398" s="51"/>
      <c r="AA398" s="51"/>
      <c r="AB398" s="51"/>
      <c r="AC398" s="51"/>
      <c r="AD398" s="51"/>
    </row>
    <row r="399" spans="1:30" x14ac:dyDescent="0.3">
      <c r="A399" s="51"/>
      <c r="B399" s="51"/>
      <c r="C399" s="51"/>
      <c r="D399" s="51"/>
      <c r="E399" s="51"/>
      <c r="H399" s="52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X399" s="51"/>
      <c r="Y399" s="51"/>
      <c r="Z399" s="51"/>
      <c r="AA399" s="51"/>
      <c r="AB399" s="51"/>
      <c r="AC399" s="51"/>
      <c r="AD399" s="51"/>
    </row>
    <row r="400" spans="1:30" x14ac:dyDescent="0.3">
      <c r="A400" s="51"/>
      <c r="B400" s="51"/>
      <c r="C400" s="51"/>
      <c r="D400" s="51"/>
      <c r="E400" s="51"/>
      <c r="H400" s="52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X400" s="51"/>
      <c r="Y400" s="51"/>
      <c r="Z400" s="51"/>
      <c r="AA400" s="51"/>
      <c r="AB400" s="51"/>
      <c r="AC400" s="51"/>
      <c r="AD400" s="51"/>
    </row>
    <row r="401" spans="1:30" x14ac:dyDescent="0.3">
      <c r="A401" s="51"/>
      <c r="B401" s="51"/>
      <c r="C401" s="51"/>
      <c r="D401" s="51"/>
      <c r="E401" s="51"/>
      <c r="H401" s="52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X401" s="51"/>
      <c r="Y401" s="51"/>
      <c r="Z401" s="51"/>
      <c r="AA401" s="51"/>
      <c r="AB401" s="51"/>
      <c r="AC401" s="51"/>
      <c r="AD401" s="51"/>
    </row>
    <row r="402" spans="1:30" x14ac:dyDescent="0.3">
      <c r="A402" s="51"/>
      <c r="B402" s="51"/>
      <c r="C402" s="51"/>
      <c r="D402" s="51"/>
      <c r="E402" s="51"/>
      <c r="H402" s="52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X402" s="51"/>
      <c r="Y402" s="51"/>
      <c r="Z402" s="51"/>
      <c r="AA402" s="51"/>
      <c r="AB402" s="51"/>
      <c r="AC402" s="51"/>
      <c r="AD402" s="51"/>
    </row>
    <row r="403" spans="1:30" x14ac:dyDescent="0.3">
      <c r="A403" s="51"/>
      <c r="B403" s="51"/>
      <c r="C403" s="51"/>
      <c r="D403" s="51"/>
      <c r="E403" s="51"/>
      <c r="H403" s="52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X403" s="51"/>
      <c r="Y403" s="51"/>
      <c r="Z403" s="51"/>
      <c r="AA403" s="51"/>
      <c r="AB403" s="51"/>
      <c r="AC403" s="51"/>
      <c r="AD403" s="51"/>
    </row>
    <row r="404" spans="1:30" x14ac:dyDescent="0.3">
      <c r="A404" s="51"/>
      <c r="B404" s="51"/>
      <c r="C404" s="51"/>
      <c r="D404" s="51"/>
      <c r="E404" s="51"/>
      <c r="H404" s="52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X404" s="51"/>
      <c r="Y404" s="51"/>
      <c r="Z404" s="51"/>
      <c r="AA404" s="51"/>
      <c r="AB404" s="51"/>
      <c r="AC404" s="51"/>
      <c r="AD404" s="51"/>
    </row>
    <row r="405" spans="1:30" x14ac:dyDescent="0.3">
      <c r="A405" s="51"/>
      <c r="B405" s="51"/>
      <c r="C405" s="51"/>
      <c r="D405" s="51"/>
      <c r="E405" s="51"/>
      <c r="H405" s="52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X405" s="51"/>
      <c r="Y405" s="51"/>
      <c r="Z405" s="51"/>
      <c r="AA405" s="51"/>
      <c r="AB405" s="51"/>
      <c r="AC405" s="51"/>
      <c r="AD405" s="51"/>
    </row>
    <row r="406" spans="1:30" x14ac:dyDescent="0.3">
      <c r="A406" s="51"/>
      <c r="B406" s="51"/>
      <c r="C406" s="51"/>
      <c r="D406" s="51"/>
      <c r="E406" s="51"/>
      <c r="H406" s="52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X406" s="51"/>
      <c r="Y406" s="51"/>
      <c r="Z406" s="51"/>
      <c r="AA406" s="51"/>
      <c r="AB406" s="51"/>
      <c r="AC406" s="51"/>
      <c r="AD406" s="51"/>
    </row>
    <row r="407" spans="1:30" x14ac:dyDescent="0.3">
      <c r="A407" s="61"/>
      <c r="B407" s="61"/>
      <c r="C407" s="61"/>
      <c r="D407" s="61"/>
      <c r="E407" s="61"/>
      <c r="H407" s="63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X407" s="61"/>
      <c r="Y407" s="61"/>
      <c r="Z407" s="61"/>
      <c r="AA407" s="61"/>
      <c r="AB407" s="61"/>
      <c r="AC407" s="61"/>
      <c r="AD407" s="61"/>
    </row>
    <row r="408" spans="1:30" x14ac:dyDescent="0.3">
      <c r="A408" s="51"/>
      <c r="B408" s="51"/>
      <c r="C408" s="51"/>
      <c r="D408" s="51"/>
      <c r="E408" s="51"/>
      <c r="H408" s="52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X408" s="51"/>
      <c r="Y408" s="51"/>
      <c r="Z408" s="51"/>
      <c r="AA408" s="51"/>
      <c r="AB408" s="51"/>
      <c r="AC408" s="51"/>
      <c r="AD408" s="51"/>
    </row>
    <row r="409" spans="1:30" x14ac:dyDescent="0.3">
      <c r="A409" s="51"/>
      <c r="B409" s="51"/>
      <c r="C409" s="51"/>
      <c r="D409" s="51"/>
      <c r="E409" s="51"/>
      <c r="H409" s="52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X409" s="51"/>
      <c r="Y409" s="51"/>
      <c r="Z409" s="51"/>
      <c r="AA409" s="51"/>
      <c r="AB409" s="51"/>
      <c r="AC409" s="51"/>
      <c r="AD409" s="51"/>
    </row>
    <row r="410" spans="1:30" x14ac:dyDescent="0.3">
      <c r="A410" s="51"/>
      <c r="B410" s="51"/>
      <c r="C410" s="51"/>
      <c r="D410" s="51"/>
      <c r="E410" s="51"/>
      <c r="H410" s="52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X410" s="51"/>
      <c r="Y410" s="51"/>
      <c r="Z410" s="51"/>
      <c r="AA410" s="51"/>
      <c r="AB410" s="51"/>
      <c r="AC410" s="51"/>
      <c r="AD410" s="51"/>
    </row>
    <row r="411" spans="1:30" x14ac:dyDescent="0.3">
      <c r="A411" s="51"/>
      <c r="B411" s="51"/>
      <c r="C411" s="51"/>
      <c r="D411" s="51"/>
      <c r="E411" s="51"/>
      <c r="H411" s="52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X411" s="51"/>
      <c r="Y411" s="51"/>
      <c r="Z411" s="51"/>
      <c r="AA411" s="51"/>
      <c r="AB411" s="51"/>
      <c r="AC411" s="51"/>
      <c r="AD411" s="51"/>
    </row>
    <row r="412" spans="1:30" x14ac:dyDescent="0.3">
      <c r="A412" s="51"/>
      <c r="B412" s="51"/>
      <c r="C412" s="51"/>
      <c r="D412" s="51"/>
      <c r="E412" s="51"/>
      <c r="H412" s="52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X412" s="51"/>
      <c r="Y412" s="51"/>
      <c r="Z412" s="51"/>
      <c r="AA412" s="51"/>
      <c r="AB412" s="51"/>
      <c r="AC412" s="51"/>
      <c r="AD412" s="51"/>
    </row>
    <row r="413" spans="1:30" x14ac:dyDescent="0.3">
      <c r="A413" s="51"/>
      <c r="B413" s="51"/>
      <c r="C413" s="51"/>
      <c r="D413" s="51"/>
      <c r="E413" s="51"/>
      <c r="H413" s="52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X413" s="51"/>
      <c r="Y413" s="51"/>
      <c r="Z413" s="51"/>
      <c r="AA413" s="51"/>
      <c r="AB413" s="51"/>
      <c r="AC413" s="51"/>
      <c r="AD413" s="51"/>
    </row>
    <row r="414" spans="1:30" x14ac:dyDescent="0.3">
      <c r="A414" s="51"/>
      <c r="B414" s="51"/>
      <c r="C414" s="51"/>
      <c r="D414" s="51"/>
      <c r="E414" s="51"/>
      <c r="H414" s="52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X414" s="51"/>
      <c r="Y414" s="51"/>
      <c r="Z414" s="51"/>
      <c r="AA414" s="51"/>
      <c r="AB414" s="51"/>
      <c r="AC414" s="51"/>
      <c r="AD414" s="51"/>
    </row>
    <row r="415" spans="1:30" x14ac:dyDescent="0.3">
      <c r="A415" s="51"/>
      <c r="B415" s="51"/>
      <c r="C415" s="51"/>
      <c r="D415" s="51"/>
      <c r="E415" s="51"/>
      <c r="H415" s="52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X415" s="51"/>
      <c r="Y415" s="51"/>
      <c r="Z415" s="51"/>
      <c r="AA415" s="51"/>
      <c r="AB415" s="51"/>
      <c r="AC415" s="51"/>
      <c r="AD415" s="51"/>
    </row>
    <row r="416" spans="1:30" x14ac:dyDescent="0.3">
      <c r="A416" s="51"/>
      <c r="B416" s="51"/>
      <c r="C416" s="51"/>
      <c r="D416" s="51"/>
      <c r="E416" s="51"/>
      <c r="H416" s="52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X416" s="51"/>
      <c r="Y416" s="51"/>
      <c r="Z416" s="51"/>
      <c r="AA416" s="51"/>
      <c r="AB416" s="51"/>
      <c r="AC416" s="51"/>
      <c r="AD416" s="51"/>
    </row>
    <row r="417" spans="1:30" x14ac:dyDescent="0.3">
      <c r="A417" s="51"/>
      <c r="B417" s="51"/>
      <c r="C417" s="51"/>
      <c r="D417" s="51"/>
      <c r="E417" s="51"/>
      <c r="H417" s="52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X417" s="51"/>
      <c r="Y417" s="51"/>
      <c r="Z417" s="51"/>
      <c r="AA417" s="51"/>
      <c r="AB417" s="51"/>
      <c r="AC417" s="51"/>
      <c r="AD417" s="51"/>
    </row>
    <row r="418" spans="1:30" x14ac:dyDescent="0.3">
      <c r="A418" s="51"/>
      <c r="B418" s="51"/>
      <c r="C418" s="51"/>
      <c r="D418" s="51"/>
      <c r="E418" s="51"/>
      <c r="H418" s="52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X418" s="51"/>
      <c r="Y418" s="51"/>
      <c r="Z418" s="51"/>
      <c r="AA418" s="51"/>
      <c r="AB418" s="51"/>
      <c r="AC418" s="51"/>
      <c r="AD418" s="51"/>
    </row>
    <row r="419" spans="1:30" x14ac:dyDescent="0.3">
      <c r="A419" s="51"/>
      <c r="B419" s="51"/>
      <c r="C419" s="51"/>
      <c r="D419" s="51"/>
      <c r="E419" s="51"/>
      <c r="H419" s="52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X419" s="51"/>
      <c r="Y419" s="51"/>
      <c r="Z419" s="51"/>
      <c r="AA419" s="51"/>
      <c r="AB419" s="51"/>
      <c r="AC419" s="51"/>
      <c r="AD419" s="51"/>
    </row>
    <row r="420" spans="1:30" x14ac:dyDescent="0.3">
      <c r="A420" s="51"/>
      <c r="B420" s="51"/>
      <c r="C420" s="51"/>
      <c r="D420" s="51"/>
      <c r="E420" s="51"/>
      <c r="H420" s="52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X420" s="51"/>
      <c r="Y420" s="51"/>
      <c r="Z420" s="51"/>
      <c r="AA420" s="51"/>
      <c r="AB420" s="51"/>
      <c r="AC420" s="51"/>
      <c r="AD420" s="51"/>
    </row>
    <row r="421" spans="1:30" x14ac:dyDescent="0.3">
      <c r="A421" s="51"/>
      <c r="B421" s="51"/>
      <c r="C421" s="51"/>
      <c r="D421" s="51"/>
      <c r="E421" s="51"/>
      <c r="H421" s="52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X421" s="51"/>
      <c r="Y421" s="51"/>
      <c r="Z421" s="51"/>
      <c r="AA421" s="51"/>
      <c r="AB421" s="51"/>
      <c r="AC421" s="51"/>
      <c r="AD421" s="51"/>
    </row>
    <row r="422" spans="1:30" x14ac:dyDescent="0.3">
      <c r="A422" s="51"/>
      <c r="B422" s="51"/>
      <c r="C422" s="51"/>
      <c r="D422" s="51"/>
      <c r="E422" s="51"/>
      <c r="H422" s="52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X422" s="51"/>
      <c r="Y422" s="51"/>
      <c r="Z422" s="51"/>
      <c r="AA422" s="51"/>
      <c r="AB422" s="51"/>
      <c r="AC422" s="51"/>
      <c r="AD422" s="51"/>
    </row>
    <row r="423" spans="1:30" x14ac:dyDescent="0.3">
      <c r="A423" s="51"/>
      <c r="B423" s="51"/>
      <c r="C423" s="51"/>
      <c r="D423" s="51"/>
      <c r="E423" s="51"/>
      <c r="H423" s="52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X423" s="51"/>
      <c r="Y423" s="51"/>
      <c r="Z423" s="51"/>
      <c r="AA423" s="51"/>
      <c r="AB423" s="51"/>
      <c r="AC423" s="51"/>
      <c r="AD423" s="51"/>
    </row>
    <row r="424" spans="1:30" x14ac:dyDescent="0.3">
      <c r="A424" s="51"/>
      <c r="B424" s="51"/>
      <c r="C424" s="51"/>
      <c r="D424" s="51"/>
      <c r="E424" s="51"/>
      <c r="H424" s="52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X424" s="51"/>
      <c r="Y424" s="51"/>
      <c r="Z424" s="51"/>
      <c r="AA424" s="51"/>
      <c r="AB424" s="51"/>
      <c r="AC424" s="51"/>
      <c r="AD424" s="51"/>
    </row>
    <row r="425" spans="1:30" x14ac:dyDescent="0.3">
      <c r="A425" s="51"/>
      <c r="B425" s="51"/>
      <c r="C425" s="51"/>
      <c r="D425" s="51"/>
      <c r="E425" s="51"/>
      <c r="H425" s="52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X425" s="51"/>
      <c r="Y425" s="51"/>
      <c r="Z425" s="51"/>
      <c r="AA425" s="51"/>
      <c r="AB425" s="51"/>
      <c r="AC425" s="51"/>
      <c r="AD425" s="51"/>
    </row>
    <row r="426" spans="1:30" x14ac:dyDescent="0.3">
      <c r="A426" s="51"/>
      <c r="B426" s="51"/>
      <c r="C426" s="51"/>
      <c r="D426" s="51"/>
      <c r="E426" s="51"/>
      <c r="H426" s="52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X426" s="51"/>
      <c r="Y426" s="51"/>
      <c r="Z426" s="51"/>
      <c r="AA426" s="51"/>
      <c r="AB426" s="51"/>
      <c r="AC426" s="51"/>
      <c r="AD426" s="51"/>
    </row>
    <row r="427" spans="1:30" x14ac:dyDescent="0.3">
      <c r="A427" s="51"/>
      <c r="B427" s="51"/>
      <c r="C427" s="51"/>
      <c r="D427" s="51"/>
      <c r="E427" s="51"/>
      <c r="H427" s="52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X427" s="51"/>
      <c r="Y427" s="51"/>
      <c r="Z427" s="51"/>
      <c r="AA427" s="51"/>
      <c r="AB427" s="51"/>
      <c r="AC427" s="51"/>
      <c r="AD427" s="51"/>
    </row>
    <row r="428" spans="1:30" x14ac:dyDescent="0.3">
      <c r="A428" s="51"/>
      <c r="B428" s="51"/>
      <c r="C428" s="51"/>
      <c r="D428" s="51"/>
      <c r="E428" s="51"/>
      <c r="H428" s="52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X428" s="51"/>
      <c r="Y428" s="51"/>
      <c r="Z428" s="51"/>
      <c r="AA428" s="51"/>
      <c r="AB428" s="51"/>
      <c r="AC428" s="51"/>
      <c r="AD428" s="51"/>
    </row>
    <row r="429" spans="1:30" x14ac:dyDescent="0.3">
      <c r="A429" s="51"/>
      <c r="B429" s="51"/>
      <c r="C429" s="51"/>
      <c r="D429" s="51"/>
      <c r="E429" s="51"/>
      <c r="H429" s="52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X429" s="51"/>
      <c r="Y429" s="51"/>
      <c r="Z429" s="51"/>
      <c r="AA429" s="51"/>
      <c r="AB429" s="51"/>
      <c r="AC429" s="51"/>
      <c r="AD429" s="51"/>
    </row>
    <row r="430" spans="1:30" x14ac:dyDescent="0.3">
      <c r="A430" s="51"/>
      <c r="B430" s="51"/>
      <c r="C430" s="51"/>
      <c r="D430" s="51"/>
      <c r="E430" s="51"/>
      <c r="H430" s="52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X430" s="51"/>
      <c r="Y430" s="51"/>
      <c r="Z430" s="51"/>
      <c r="AA430" s="51"/>
      <c r="AB430" s="51"/>
      <c r="AC430" s="51"/>
      <c r="AD430" s="51"/>
    </row>
    <row r="431" spans="1:30" x14ac:dyDescent="0.3">
      <c r="A431" s="51"/>
      <c r="B431" s="51"/>
      <c r="C431" s="51"/>
      <c r="D431" s="51"/>
      <c r="E431" s="51"/>
      <c r="H431" s="52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X431" s="51"/>
      <c r="Y431" s="51"/>
      <c r="Z431" s="51"/>
      <c r="AA431" s="51"/>
      <c r="AB431" s="51"/>
      <c r="AC431" s="51"/>
      <c r="AD431" s="51"/>
    </row>
    <row r="432" spans="1:30" x14ac:dyDescent="0.3">
      <c r="A432" s="51"/>
      <c r="B432" s="51"/>
      <c r="C432" s="51"/>
      <c r="D432" s="51"/>
      <c r="E432" s="51"/>
      <c r="H432" s="52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X432" s="51"/>
      <c r="Y432" s="51"/>
      <c r="Z432" s="51"/>
      <c r="AA432" s="51"/>
      <c r="AB432" s="51"/>
      <c r="AC432" s="51"/>
      <c r="AD432" s="51"/>
    </row>
    <row r="433" spans="1:30" x14ac:dyDescent="0.3">
      <c r="A433" s="51"/>
      <c r="B433" s="51"/>
      <c r="C433" s="51"/>
      <c r="D433" s="51"/>
      <c r="E433" s="51"/>
      <c r="H433" s="52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X433" s="51"/>
      <c r="Y433" s="51"/>
      <c r="Z433" s="51"/>
      <c r="AA433" s="51"/>
      <c r="AB433" s="51"/>
      <c r="AC433" s="51"/>
      <c r="AD433" s="51"/>
    </row>
    <row r="434" spans="1:30" x14ac:dyDescent="0.3">
      <c r="A434" s="51"/>
      <c r="B434" s="51"/>
      <c r="C434" s="51"/>
      <c r="D434" s="51"/>
      <c r="E434" s="51"/>
      <c r="H434" s="52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X434" s="51"/>
      <c r="Y434" s="51"/>
      <c r="Z434" s="51"/>
      <c r="AA434" s="51"/>
      <c r="AB434" s="51"/>
      <c r="AC434" s="51"/>
      <c r="AD434" s="51"/>
    </row>
    <row r="435" spans="1:30" x14ac:dyDescent="0.3">
      <c r="A435" s="51"/>
      <c r="B435" s="51"/>
      <c r="C435" s="51"/>
      <c r="D435" s="51"/>
      <c r="E435" s="51"/>
      <c r="H435" s="52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X435" s="51"/>
      <c r="Y435" s="51"/>
      <c r="Z435" s="51"/>
      <c r="AA435" s="51"/>
      <c r="AB435" s="51"/>
      <c r="AC435" s="51"/>
      <c r="AD435" s="51"/>
    </row>
    <row r="436" spans="1:30" x14ac:dyDescent="0.3">
      <c r="A436" s="51"/>
      <c r="B436" s="51"/>
      <c r="C436" s="51"/>
      <c r="D436" s="51"/>
      <c r="E436" s="51"/>
      <c r="H436" s="52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X436" s="51"/>
      <c r="Y436" s="51"/>
      <c r="Z436" s="51"/>
      <c r="AA436" s="51"/>
      <c r="AB436" s="51"/>
      <c r="AC436" s="51"/>
      <c r="AD436" s="51"/>
    </row>
    <row r="437" spans="1:30" x14ac:dyDescent="0.3">
      <c r="A437" s="51"/>
      <c r="B437" s="51"/>
      <c r="C437" s="51"/>
      <c r="D437" s="51"/>
      <c r="E437" s="51"/>
      <c r="H437" s="52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X437" s="51"/>
      <c r="Y437" s="51"/>
      <c r="Z437" s="51"/>
      <c r="AA437" s="51"/>
      <c r="AB437" s="51"/>
      <c r="AC437" s="51"/>
      <c r="AD437" s="51"/>
    </row>
    <row r="438" spans="1:30" x14ac:dyDescent="0.3">
      <c r="A438" s="51"/>
      <c r="B438" s="51"/>
      <c r="C438" s="51"/>
      <c r="D438" s="51"/>
      <c r="E438" s="51"/>
      <c r="H438" s="52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X438" s="51"/>
      <c r="Y438" s="51"/>
      <c r="Z438" s="51"/>
      <c r="AA438" s="51"/>
      <c r="AB438" s="51"/>
      <c r="AC438" s="51"/>
      <c r="AD438" s="51"/>
    </row>
    <row r="439" spans="1:30" x14ac:dyDescent="0.3">
      <c r="A439" s="51"/>
      <c r="B439" s="51"/>
      <c r="C439" s="51"/>
      <c r="D439" s="51"/>
      <c r="E439" s="51"/>
      <c r="H439" s="52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X439" s="51"/>
      <c r="Y439" s="51"/>
      <c r="Z439" s="51"/>
      <c r="AA439" s="51"/>
      <c r="AB439" s="51"/>
      <c r="AC439" s="51"/>
      <c r="AD439" s="51"/>
    </row>
    <row r="440" spans="1:30" x14ac:dyDescent="0.3">
      <c r="A440" s="51"/>
      <c r="B440" s="51"/>
      <c r="C440" s="51"/>
      <c r="D440" s="51"/>
      <c r="E440" s="51"/>
      <c r="H440" s="52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X440" s="51"/>
      <c r="Y440" s="51"/>
      <c r="Z440" s="51"/>
      <c r="AA440" s="51"/>
      <c r="AB440" s="51"/>
      <c r="AC440" s="51"/>
      <c r="AD440" s="51"/>
    </row>
    <row r="441" spans="1:30" x14ac:dyDescent="0.3">
      <c r="A441" s="51"/>
      <c r="B441" s="51"/>
      <c r="C441" s="51"/>
      <c r="D441" s="51"/>
      <c r="E441" s="51"/>
      <c r="H441" s="52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X441" s="51"/>
      <c r="Y441" s="51"/>
      <c r="Z441" s="51"/>
      <c r="AA441" s="51"/>
      <c r="AB441" s="51"/>
      <c r="AC441" s="51"/>
      <c r="AD441" s="51"/>
    </row>
    <row r="442" spans="1:30" x14ac:dyDescent="0.3">
      <c r="A442" s="51"/>
      <c r="B442" s="51"/>
      <c r="C442" s="51"/>
      <c r="D442" s="51"/>
      <c r="E442" s="51"/>
      <c r="H442" s="52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X442" s="51"/>
      <c r="Y442" s="51"/>
      <c r="Z442" s="51"/>
      <c r="AA442" s="51"/>
      <c r="AB442" s="51"/>
      <c r="AC442" s="51"/>
      <c r="AD442" s="51"/>
    </row>
    <row r="443" spans="1:30" x14ac:dyDescent="0.3">
      <c r="A443" s="51"/>
      <c r="B443" s="51"/>
      <c r="C443" s="51"/>
      <c r="D443" s="51"/>
      <c r="E443" s="51"/>
      <c r="H443" s="52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X443" s="51"/>
      <c r="Y443" s="51"/>
      <c r="Z443" s="51"/>
      <c r="AA443" s="51"/>
      <c r="AB443" s="51"/>
      <c r="AC443" s="51"/>
      <c r="AD443" s="51"/>
    </row>
    <row r="444" spans="1:30" x14ac:dyDescent="0.3">
      <c r="A444" s="51"/>
      <c r="B444" s="51"/>
      <c r="C444" s="51"/>
      <c r="D444" s="51"/>
      <c r="E444" s="51"/>
      <c r="H444" s="52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X444" s="51"/>
      <c r="Y444" s="51"/>
      <c r="Z444" s="51"/>
      <c r="AA444" s="51"/>
      <c r="AB444" s="51"/>
      <c r="AC444" s="51"/>
      <c r="AD444" s="51"/>
    </row>
    <row r="445" spans="1:30" x14ac:dyDescent="0.3">
      <c r="A445" s="51"/>
      <c r="B445" s="51"/>
      <c r="C445" s="51"/>
      <c r="D445" s="51"/>
      <c r="E445" s="51"/>
      <c r="H445" s="52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X445" s="51"/>
      <c r="Y445" s="51"/>
      <c r="Z445" s="51"/>
      <c r="AA445" s="51"/>
      <c r="AB445" s="51"/>
      <c r="AC445" s="51"/>
      <c r="AD445" s="51"/>
    </row>
    <row r="446" spans="1:30" x14ac:dyDescent="0.3">
      <c r="A446" s="51"/>
      <c r="B446" s="51"/>
      <c r="C446" s="51"/>
      <c r="D446" s="51"/>
      <c r="E446" s="51"/>
      <c r="H446" s="52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X446" s="51"/>
      <c r="Y446" s="51"/>
      <c r="Z446" s="51"/>
      <c r="AA446" s="51"/>
      <c r="AB446" s="51"/>
      <c r="AC446" s="51"/>
      <c r="AD446" s="51"/>
    </row>
    <row r="447" spans="1:30" x14ac:dyDescent="0.3">
      <c r="A447" s="51"/>
      <c r="B447" s="51"/>
      <c r="C447" s="51"/>
      <c r="D447" s="51"/>
      <c r="E447" s="51"/>
      <c r="H447" s="52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X447" s="51"/>
      <c r="Y447" s="51"/>
      <c r="Z447" s="51"/>
      <c r="AA447" s="51"/>
      <c r="AB447" s="51"/>
      <c r="AC447" s="51"/>
      <c r="AD447" s="51"/>
    </row>
    <row r="448" spans="1:30" x14ac:dyDescent="0.3">
      <c r="A448" s="51"/>
      <c r="B448" s="51"/>
      <c r="C448" s="51"/>
      <c r="D448" s="51"/>
      <c r="E448" s="51"/>
      <c r="H448" s="52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X448" s="51"/>
      <c r="Y448" s="51"/>
      <c r="Z448" s="51"/>
      <c r="AA448" s="51"/>
      <c r="AB448" s="51"/>
      <c r="AC448" s="51"/>
      <c r="AD448" s="51"/>
    </row>
    <row r="449" spans="1:30" x14ac:dyDescent="0.3">
      <c r="A449" s="51"/>
      <c r="B449" s="51"/>
      <c r="C449" s="51"/>
      <c r="D449" s="51"/>
      <c r="E449" s="51"/>
      <c r="H449" s="52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X449" s="51"/>
      <c r="Y449" s="51"/>
      <c r="Z449" s="51"/>
      <c r="AA449" s="51"/>
      <c r="AB449" s="51"/>
      <c r="AC449" s="51"/>
      <c r="AD449" s="51"/>
    </row>
    <row r="450" spans="1:30" x14ac:dyDescent="0.3">
      <c r="A450" s="51"/>
      <c r="B450" s="51"/>
      <c r="C450" s="51"/>
      <c r="D450" s="51"/>
      <c r="E450" s="51"/>
      <c r="H450" s="52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X450" s="51"/>
      <c r="Y450" s="51"/>
      <c r="Z450" s="51"/>
      <c r="AA450" s="51"/>
      <c r="AB450" s="51"/>
      <c r="AC450" s="51"/>
      <c r="AD450" s="51"/>
    </row>
    <row r="451" spans="1:30" x14ac:dyDescent="0.3">
      <c r="A451" s="51"/>
      <c r="B451" s="51"/>
      <c r="C451" s="51"/>
      <c r="D451" s="51"/>
      <c r="E451" s="51"/>
      <c r="H451" s="52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X451" s="51"/>
      <c r="Y451" s="51"/>
      <c r="Z451" s="51"/>
      <c r="AA451" s="51"/>
      <c r="AB451" s="51"/>
      <c r="AC451" s="51"/>
      <c r="AD451" s="51"/>
    </row>
    <row r="452" spans="1:30" x14ac:dyDescent="0.3">
      <c r="A452" s="51"/>
      <c r="B452" s="51"/>
      <c r="C452" s="51"/>
      <c r="D452" s="51"/>
      <c r="E452" s="51"/>
      <c r="H452" s="52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X452" s="51"/>
      <c r="Y452" s="51"/>
      <c r="Z452" s="51"/>
      <c r="AA452" s="51"/>
      <c r="AB452" s="51"/>
      <c r="AC452" s="51"/>
      <c r="AD452" s="51"/>
    </row>
    <row r="453" spans="1:30" x14ac:dyDescent="0.3">
      <c r="A453" s="51"/>
      <c r="B453" s="51"/>
      <c r="C453" s="51"/>
      <c r="D453" s="51"/>
      <c r="E453" s="51"/>
      <c r="H453" s="52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X453" s="51"/>
      <c r="Y453" s="51"/>
      <c r="Z453" s="51"/>
      <c r="AA453" s="51"/>
      <c r="AB453" s="51"/>
      <c r="AC453" s="51"/>
      <c r="AD453" s="51"/>
    </row>
    <row r="454" spans="1:30" x14ac:dyDescent="0.3">
      <c r="A454" s="51"/>
      <c r="B454" s="51"/>
      <c r="C454" s="51"/>
      <c r="D454" s="51"/>
      <c r="E454" s="51"/>
      <c r="H454" s="52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X454" s="51"/>
      <c r="Y454" s="51"/>
      <c r="Z454" s="51"/>
      <c r="AA454" s="51"/>
      <c r="AB454" s="51"/>
      <c r="AC454" s="51"/>
      <c r="AD454" s="51"/>
    </row>
    <row r="455" spans="1:30" x14ac:dyDescent="0.3">
      <c r="A455" s="51"/>
      <c r="B455" s="51"/>
      <c r="C455" s="51"/>
      <c r="D455" s="51"/>
      <c r="E455" s="51"/>
      <c r="H455" s="52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X455" s="51"/>
      <c r="Y455" s="51"/>
      <c r="Z455" s="51"/>
      <c r="AA455" s="51"/>
      <c r="AB455" s="51"/>
      <c r="AC455" s="51"/>
      <c r="AD455" s="51"/>
    </row>
    <row r="456" spans="1:30" x14ac:dyDescent="0.3">
      <c r="A456" s="51"/>
      <c r="B456" s="51"/>
      <c r="C456" s="51"/>
      <c r="D456" s="51"/>
      <c r="E456" s="51"/>
      <c r="H456" s="52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X456" s="51"/>
      <c r="Y456" s="51"/>
      <c r="Z456" s="51"/>
      <c r="AA456" s="51"/>
      <c r="AB456" s="51"/>
      <c r="AC456" s="51"/>
      <c r="AD456" s="51"/>
    </row>
    <row r="457" spans="1:30" x14ac:dyDescent="0.3">
      <c r="A457" s="51"/>
      <c r="B457" s="51"/>
      <c r="C457" s="51"/>
      <c r="D457" s="51"/>
      <c r="E457" s="51"/>
      <c r="H457" s="52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X457" s="51"/>
      <c r="Y457" s="51"/>
      <c r="Z457" s="51"/>
      <c r="AA457" s="51"/>
      <c r="AB457" s="51"/>
      <c r="AC457" s="51"/>
      <c r="AD457" s="51"/>
    </row>
    <row r="458" spans="1:30" x14ac:dyDescent="0.3">
      <c r="A458" s="51"/>
      <c r="B458" s="51"/>
      <c r="C458" s="51"/>
      <c r="D458" s="51"/>
      <c r="E458" s="51"/>
      <c r="H458" s="52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X458" s="51"/>
      <c r="Y458" s="51"/>
      <c r="Z458" s="51"/>
      <c r="AA458" s="51"/>
      <c r="AB458" s="51"/>
      <c r="AC458" s="51"/>
      <c r="AD458" s="51"/>
    </row>
    <row r="459" spans="1:30" x14ac:dyDescent="0.3">
      <c r="A459" s="51"/>
      <c r="B459" s="51"/>
      <c r="C459" s="51"/>
      <c r="D459" s="51"/>
      <c r="E459" s="51"/>
      <c r="H459" s="52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X459" s="51"/>
      <c r="Y459" s="51"/>
      <c r="Z459" s="51"/>
      <c r="AA459" s="51"/>
      <c r="AB459" s="51"/>
      <c r="AC459" s="51"/>
      <c r="AD459" s="51"/>
    </row>
    <row r="460" spans="1:30" x14ac:dyDescent="0.3">
      <c r="A460" s="51"/>
      <c r="B460" s="51"/>
      <c r="C460" s="51"/>
      <c r="D460" s="51"/>
      <c r="E460" s="51"/>
      <c r="H460" s="52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X460" s="51"/>
      <c r="Y460" s="51"/>
      <c r="Z460" s="51"/>
      <c r="AA460" s="51"/>
      <c r="AB460" s="51"/>
      <c r="AC460" s="51"/>
      <c r="AD460" s="51"/>
    </row>
    <row r="461" spans="1:30" x14ac:dyDescent="0.3">
      <c r="A461" s="51"/>
      <c r="B461" s="51"/>
      <c r="C461" s="51"/>
      <c r="D461" s="51"/>
      <c r="E461" s="51"/>
      <c r="H461" s="52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X461" s="51"/>
      <c r="Y461" s="51"/>
      <c r="Z461" s="51"/>
      <c r="AA461" s="51"/>
      <c r="AB461" s="51"/>
      <c r="AC461" s="51"/>
      <c r="AD461" s="51"/>
    </row>
    <row r="462" spans="1:30" x14ac:dyDescent="0.3">
      <c r="A462" s="51"/>
      <c r="B462" s="51"/>
      <c r="C462" s="51"/>
      <c r="D462" s="51"/>
      <c r="E462" s="51"/>
      <c r="H462" s="52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X462" s="51"/>
      <c r="Y462" s="51"/>
      <c r="Z462" s="51"/>
      <c r="AA462" s="51"/>
      <c r="AB462" s="51"/>
      <c r="AC462" s="51"/>
      <c r="AD462" s="51"/>
    </row>
    <row r="463" spans="1:30" x14ac:dyDescent="0.3">
      <c r="A463" s="51"/>
      <c r="B463" s="51"/>
      <c r="C463" s="51"/>
      <c r="D463" s="51"/>
      <c r="E463" s="51"/>
      <c r="H463" s="52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X463" s="51"/>
      <c r="Y463" s="51"/>
      <c r="Z463" s="51"/>
      <c r="AA463" s="51"/>
      <c r="AB463" s="51"/>
      <c r="AC463" s="51"/>
      <c r="AD463" s="51"/>
    </row>
    <row r="464" spans="1:30" x14ac:dyDescent="0.3">
      <c r="A464" s="51"/>
      <c r="B464" s="51"/>
      <c r="C464" s="51"/>
      <c r="D464" s="51"/>
      <c r="E464" s="51"/>
      <c r="H464" s="52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X464" s="51"/>
      <c r="Y464" s="51"/>
      <c r="Z464" s="51"/>
      <c r="AA464" s="51"/>
      <c r="AB464" s="51"/>
      <c r="AC464" s="51"/>
      <c r="AD464" s="51"/>
    </row>
    <row r="465" spans="1:30" x14ac:dyDescent="0.3">
      <c r="A465" s="51"/>
      <c r="B465" s="51"/>
      <c r="C465" s="51"/>
      <c r="D465" s="51"/>
      <c r="E465" s="51"/>
      <c r="H465" s="52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X465" s="51"/>
      <c r="Y465" s="51"/>
      <c r="Z465" s="51"/>
      <c r="AA465" s="51"/>
      <c r="AB465" s="51"/>
      <c r="AC465" s="51"/>
      <c r="AD465" s="51"/>
    </row>
    <row r="466" spans="1:30" x14ac:dyDescent="0.3">
      <c r="A466" s="51"/>
      <c r="B466" s="51"/>
      <c r="C466" s="51"/>
      <c r="D466" s="51"/>
      <c r="E466" s="51"/>
      <c r="H466" s="52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X466" s="51"/>
      <c r="Y466" s="51"/>
      <c r="Z466" s="51"/>
      <c r="AA466" s="51"/>
      <c r="AB466" s="51"/>
      <c r="AC466" s="51"/>
      <c r="AD466" s="51"/>
    </row>
    <row r="467" spans="1:30" x14ac:dyDescent="0.3">
      <c r="A467" s="51"/>
      <c r="B467" s="51"/>
      <c r="C467" s="51"/>
      <c r="D467" s="51"/>
      <c r="E467" s="51"/>
      <c r="H467" s="52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X467" s="51"/>
      <c r="Y467" s="51"/>
      <c r="Z467" s="51"/>
      <c r="AA467" s="51"/>
      <c r="AB467" s="51"/>
      <c r="AC467" s="51"/>
      <c r="AD467" s="51"/>
    </row>
    <row r="468" spans="1:30" x14ac:dyDescent="0.3">
      <c r="A468" s="51"/>
      <c r="B468" s="51"/>
      <c r="C468" s="51"/>
      <c r="D468" s="51"/>
      <c r="E468" s="51"/>
      <c r="H468" s="52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X468" s="51"/>
      <c r="Y468" s="51"/>
      <c r="Z468" s="51"/>
      <c r="AA468" s="51"/>
      <c r="AB468" s="51"/>
      <c r="AC468" s="51"/>
      <c r="AD468" s="51"/>
    </row>
    <row r="469" spans="1:30" x14ac:dyDescent="0.3">
      <c r="A469" s="51"/>
      <c r="B469" s="51"/>
      <c r="C469" s="51"/>
      <c r="D469" s="51"/>
      <c r="E469" s="51"/>
      <c r="H469" s="52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X469" s="51"/>
      <c r="Y469" s="51"/>
      <c r="Z469" s="51"/>
      <c r="AA469" s="51"/>
      <c r="AB469" s="51"/>
      <c r="AC469" s="51"/>
      <c r="AD469" s="51"/>
    </row>
    <row r="470" spans="1:30" x14ac:dyDescent="0.3">
      <c r="A470" s="51"/>
      <c r="B470" s="51"/>
      <c r="C470" s="51"/>
      <c r="D470" s="51"/>
      <c r="E470" s="51"/>
      <c r="H470" s="52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X470" s="51"/>
      <c r="Y470" s="51"/>
      <c r="Z470" s="51"/>
      <c r="AA470" s="51"/>
      <c r="AB470" s="51"/>
      <c r="AC470" s="51"/>
      <c r="AD470" s="51"/>
    </row>
    <row r="471" spans="1:30" x14ac:dyDescent="0.3">
      <c r="A471" s="51"/>
      <c r="B471" s="51"/>
      <c r="C471" s="51"/>
      <c r="D471" s="51"/>
      <c r="E471" s="51"/>
      <c r="H471" s="52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X471" s="51"/>
      <c r="Y471" s="51"/>
      <c r="Z471" s="51"/>
      <c r="AA471" s="51"/>
      <c r="AB471" s="51"/>
      <c r="AC471" s="51"/>
      <c r="AD471" s="51"/>
    </row>
    <row r="472" spans="1:30" x14ac:dyDescent="0.3">
      <c r="A472" s="51"/>
      <c r="B472" s="51"/>
      <c r="C472" s="51"/>
      <c r="D472" s="51"/>
      <c r="E472" s="51"/>
      <c r="H472" s="52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X472" s="51"/>
      <c r="Y472" s="51"/>
      <c r="Z472" s="51"/>
      <c r="AA472" s="51"/>
      <c r="AB472" s="51"/>
      <c r="AC472" s="51"/>
      <c r="AD472" s="51"/>
    </row>
    <row r="473" spans="1:30" x14ac:dyDescent="0.3">
      <c r="A473" s="51"/>
      <c r="B473" s="51"/>
      <c r="C473" s="51"/>
      <c r="D473" s="51"/>
      <c r="E473" s="51"/>
      <c r="H473" s="52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X473" s="51"/>
      <c r="Y473" s="51"/>
      <c r="Z473" s="51"/>
      <c r="AA473" s="51"/>
      <c r="AB473" s="51"/>
      <c r="AC473" s="51"/>
      <c r="AD473" s="51"/>
    </row>
    <row r="474" spans="1:30" x14ac:dyDescent="0.3">
      <c r="A474" s="51"/>
      <c r="B474" s="51"/>
      <c r="C474" s="51"/>
      <c r="D474" s="51"/>
      <c r="E474" s="51"/>
      <c r="H474" s="52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X474" s="51"/>
      <c r="Y474" s="51"/>
      <c r="Z474" s="51"/>
      <c r="AA474" s="51"/>
      <c r="AB474" s="51"/>
      <c r="AC474" s="51"/>
      <c r="AD474" s="51"/>
    </row>
    <row r="475" spans="1:30" x14ac:dyDescent="0.3">
      <c r="A475" s="51"/>
      <c r="B475" s="51"/>
      <c r="C475" s="51"/>
      <c r="D475" s="51"/>
      <c r="E475" s="51"/>
      <c r="H475" s="52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X475" s="51"/>
      <c r="Y475" s="51"/>
      <c r="Z475" s="51"/>
      <c r="AA475" s="51"/>
      <c r="AB475" s="51"/>
      <c r="AC475" s="51"/>
      <c r="AD475" s="51"/>
    </row>
    <row r="476" spans="1:30" x14ac:dyDescent="0.3">
      <c r="A476" s="51"/>
      <c r="B476" s="51"/>
      <c r="C476" s="51"/>
      <c r="D476" s="51"/>
      <c r="E476" s="51"/>
      <c r="H476" s="52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X476" s="51"/>
      <c r="Y476" s="51"/>
      <c r="Z476" s="51"/>
      <c r="AA476" s="51"/>
      <c r="AB476" s="51"/>
      <c r="AC476" s="51"/>
      <c r="AD476" s="51"/>
    </row>
    <row r="477" spans="1:30" x14ac:dyDescent="0.3">
      <c r="A477" s="51"/>
      <c r="B477" s="51"/>
      <c r="C477" s="51"/>
      <c r="D477" s="51"/>
      <c r="E477" s="51"/>
      <c r="H477" s="52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X477" s="51"/>
      <c r="Y477" s="51"/>
      <c r="Z477" s="51"/>
      <c r="AA477" s="51"/>
      <c r="AB477" s="51"/>
      <c r="AC477" s="51"/>
      <c r="AD477" s="51"/>
    </row>
    <row r="478" spans="1:30" x14ac:dyDescent="0.3">
      <c r="A478" s="51"/>
      <c r="B478" s="51"/>
      <c r="C478" s="51"/>
      <c r="D478" s="51"/>
      <c r="E478" s="51"/>
      <c r="H478" s="52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X478" s="51"/>
      <c r="Y478" s="51"/>
      <c r="Z478" s="51"/>
      <c r="AA478" s="51"/>
      <c r="AB478" s="51"/>
      <c r="AC478" s="51"/>
      <c r="AD478" s="51"/>
    </row>
    <row r="479" spans="1:30" x14ac:dyDescent="0.3">
      <c r="A479" s="51"/>
      <c r="B479" s="51"/>
      <c r="C479" s="51"/>
      <c r="D479" s="51"/>
      <c r="E479" s="51"/>
      <c r="H479" s="52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X479" s="51"/>
      <c r="Y479" s="51"/>
      <c r="Z479" s="51"/>
      <c r="AA479" s="51"/>
      <c r="AB479" s="51"/>
      <c r="AC479" s="51"/>
      <c r="AD479" s="51"/>
    </row>
    <row r="480" spans="1:30" x14ac:dyDescent="0.3">
      <c r="A480" s="51"/>
      <c r="B480" s="51"/>
      <c r="C480" s="51"/>
      <c r="D480" s="51"/>
      <c r="E480" s="51"/>
      <c r="H480" s="52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X480" s="51"/>
      <c r="Y480" s="51"/>
      <c r="Z480" s="51"/>
      <c r="AA480" s="51"/>
      <c r="AB480" s="51"/>
      <c r="AC480" s="51"/>
      <c r="AD480" s="51"/>
    </row>
    <row r="481" spans="1:30" x14ac:dyDescent="0.3">
      <c r="A481" s="51"/>
      <c r="B481" s="51"/>
      <c r="C481" s="51"/>
      <c r="D481" s="51"/>
      <c r="E481" s="51"/>
      <c r="H481" s="52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X481" s="51"/>
      <c r="Y481" s="51"/>
      <c r="Z481" s="51"/>
      <c r="AA481" s="51"/>
      <c r="AB481" s="51"/>
      <c r="AC481" s="51"/>
      <c r="AD481" s="51"/>
    </row>
    <row r="482" spans="1:30" x14ac:dyDescent="0.3">
      <c r="A482" s="51"/>
      <c r="B482" s="51"/>
      <c r="C482" s="51"/>
      <c r="D482" s="51"/>
      <c r="E482" s="51"/>
      <c r="H482" s="52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X482" s="51"/>
      <c r="Y482" s="51"/>
      <c r="Z482" s="51"/>
      <c r="AA482" s="51"/>
      <c r="AB482" s="51"/>
      <c r="AC482" s="51"/>
      <c r="AD482" s="51"/>
    </row>
    <row r="483" spans="1:30" x14ac:dyDescent="0.3">
      <c r="A483" s="51"/>
      <c r="B483" s="51"/>
      <c r="C483" s="51"/>
      <c r="D483" s="51"/>
      <c r="E483" s="51"/>
      <c r="H483" s="52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X483" s="51"/>
      <c r="Y483" s="51"/>
      <c r="Z483" s="51"/>
      <c r="AA483" s="51"/>
      <c r="AB483" s="51"/>
      <c r="AC483" s="51"/>
      <c r="AD483" s="51"/>
    </row>
    <row r="484" spans="1:30" x14ac:dyDescent="0.3">
      <c r="A484" s="51"/>
      <c r="B484" s="51"/>
      <c r="C484" s="51"/>
      <c r="D484" s="51"/>
      <c r="E484" s="51"/>
      <c r="H484" s="52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X484" s="51"/>
      <c r="Y484" s="51"/>
      <c r="Z484" s="51"/>
      <c r="AA484" s="51"/>
      <c r="AB484" s="51"/>
      <c r="AC484" s="51"/>
      <c r="AD484" s="51"/>
    </row>
    <row r="485" spans="1:30" x14ac:dyDescent="0.3">
      <c r="A485" s="51"/>
      <c r="B485" s="51"/>
      <c r="C485" s="51"/>
      <c r="D485" s="51"/>
      <c r="E485" s="51"/>
      <c r="H485" s="52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X485" s="51"/>
      <c r="Y485" s="51"/>
      <c r="Z485" s="51"/>
      <c r="AA485" s="51"/>
      <c r="AB485" s="51"/>
      <c r="AC485" s="51"/>
      <c r="AD485" s="51"/>
    </row>
    <row r="486" spans="1:30" x14ac:dyDescent="0.3">
      <c r="A486" s="51"/>
      <c r="B486" s="51"/>
      <c r="C486" s="51"/>
      <c r="D486" s="51"/>
      <c r="E486" s="51"/>
      <c r="H486" s="52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X486" s="51"/>
      <c r="Y486" s="51"/>
      <c r="Z486" s="51"/>
      <c r="AA486" s="51"/>
      <c r="AB486" s="51"/>
      <c r="AC486" s="51"/>
      <c r="AD486" s="51"/>
    </row>
    <row r="487" spans="1:30" x14ac:dyDescent="0.3">
      <c r="A487" s="51"/>
      <c r="B487" s="51"/>
      <c r="C487" s="51"/>
      <c r="D487" s="51"/>
      <c r="E487" s="51"/>
      <c r="H487" s="52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X487" s="51"/>
      <c r="Y487" s="51"/>
      <c r="Z487" s="51"/>
      <c r="AA487" s="51"/>
      <c r="AB487" s="51"/>
      <c r="AC487" s="51"/>
      <c r="AD487" s="51"/>
    </row>
    <row r="488" spans="1:30" x14ac:dyDescent="0.3">
      <c r="A488" s="51"/>
      <c r="B488" s="51"/>
      <c r="C488" s="51"/>
      <c r="D488" s="51"/>
      <c r="E488" s="51"/>
      <c r="H488" s="52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X488" s="51"/>
      <c r="Y488" s="51"/>
      <c r="Z488" s="51"/>
      <c r="AA488" s="51"/>
      <c r="AB488" s="51"/>
      <c r="AC488" s="51"/>
      <c r="AD488" s="51"/>
    </row>
    <row r="489" spans="1:30" x14ac:dyDescent="0.3">
      <c r="A489" s="51"/>
      <c r="B489" s="51"/>
      <c r="C489" s="51"/>
      <c r="D489" s="51"/>
      <c r="E489" s="51"/>
      <c r="H489" s="52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X489" s="51"/>
      <c r="Y489" s="51"/>
      <c r="Z489" s="51"/>
      <c r="AA489" s="51"/>
      <c r="AB489" s="51"/>
      <c r="AC489" s="51"/>
      <c r="AD489" s="51"/>
    </row>
    <row r="490" spans="1:30" x14ac:dyDescent="0.3">
      <c r="A490" s="51"/>
      <c r="B490" s="51"/>
      <c r="C490" s="51"/>
      <c r="D490" s="51"/>
      <c r="E490" s="51"/>
      <c r="H490" s="52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X490" s="51"/>
      <c r="Y490" s="51"/>
      <c r="Z490" s="51"/>
      <c r="AA490" s="51"/>
      <c r="AB490" s="51"/>
      <c r="AC490" s="51"/>
      <c r="AD490" s="51"/>
    </row>
    <row r="491" spans="1:30" x14ac:dyDescent="0.3">
      <c r="A491" s="51"/>
      <c r="B491" s="51"/>
      <c r="C491" s="51"/>
      <c r="D491" s="51"/>
      <c r="E491" s="51"/>
      <c r="H491" s="52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X491" s="51"/>
      <c r="Y491" s="51"/>
      <c r="Z491" s="51"/>
      <c r="AA491" s="51"/>
      <c r="AB491" s="51"/>
      <c r="AC491" s="51"/>
      <c r="AD491" s="51"/>
    </row>
    <row r="492" spans="1:30" x14ac:dyDescent="0.3">
      <c r="A492" s="51"/>
      <c r="B492" s="51"/>
      <c r="C492" s="51"/>
      <c r="D492" s="51"/>
      <c r="E492" s="51"/>
      <c r="H492" s="52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X492" s="51"/>
      <c r="Y492" s="51"/>
      <c r="Z492" s="51"/>
      <c r="AA492" s="51"/>
      <c r="AB492" s="51"/>
      <c r="AC492" s="51"/>
      <c r="AD492" s="51"/>
    </row>
    <row r="493" spans="1:30" x14ac:dyDescent="0.3">
      <c r="A493" s="51"/>
      <c r="B493" s="51"/>
      <c r="C493" s="51"/>
      <c r="D493" s="51"/>
      <c r="E493" s="51"/>
      <c r="H493" s="52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X493" s="51"/>
      <c r="Y493" s="51"/>
      <c r="Z493" s="51"/>
      <c r="AA493" s="51"/>
      <c r="AB493" s="51"/>
      <c r="AC493" s="51"/>
      <c r="AD493" s="51"/>
    </row>
    <row r="494" spans="1:30" x14ac:dyDescent="0.3">
      <c r="A494" s="51"/>
      <c r="B494" s="51"/>
      <c r="C494" s="51"/>
      <c r="D494" s="51"/>
      <c r="E494" s="51"/>
      <c r="H494" s="52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X494" s="51"/>
      <c r="Y494" s="51"/>
      <c r="Z494" s="51"/>
      <c r="AA494" s="51"/>
      <c r="AB494" s="51"/>
      <c r="AC494" s="51"/>
      <c r="AD494" s="51"/>
    </row>
    <row r="495" spans="1:30" x14ac:dyDescent="0.3">
      <c r="A495" s="51"/>
      <c r="B495" s="51"/>
      <c r="C495" s="51"/>
      <c r="D495" s="51"/>
      <c r="E495" s="51"/>
      <c r="H495" s="52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X495" s="51"/>
      <c r="Y495" s="51"/>
      <c r="Z495" s="51"/>
      <c r="AA495" s="51"/>
      <c r="AB495" s="51"/>
      <c r="AC495" s="51"/>
      <c r="AD495" s="51"/>
    </row>
    <row r="496" spans="1:30" x14ac:dyDescent="0.3">
      <c r="A496" s="51"/>
      <c r="B496" s="51"/>
      <c r="C496" s="51"/>
      <c r="D496" s="51"/>
      <c r="E496" s="51"/>
      <c r="H496" s="52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X496" s="51"/>
      <c r="Y496" s="51"/>
      <c r="Z496" s="51"/>
      <c r="AA496" s="51"/>
      <c r="AB496" s="51"/>
      <c r="AC496" s="51"/>
      <c r="AD496" s="51"/>
    </row>
    <row r="497" spans="1:30" x14ac:dyDescent="0.3">
      <c r="A497" s="51"/>
      <c r="B497" s="51"/>
      <c r="C497" s="51"/>
      <c r="D497" s="51"/>
      <c r="E497" s="51"/>
      <c r="H497" s="52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X497" s="51"/>
      <c r="Y497" s="51"/>
      <c r="Z497" s="51"/>
      <c r="AA497" s="51"/>
      <c r="AB497" s="51"/>
      <c r="AC497" s="51"/>
      <c r="AD497" s="51"/>
    </row>
    <row r="498" spans="1:30" x14ac:dyDescent="0.3">
      <c r="A498" s="51"/>
      <c r="B498" s="51"/>
      <c r="C498" s="51"/>
      <c r="D498" s="51"/>
      <c r="E498" s="51"/>
      <c r="H498" s="52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X498" s="51"/>
      <c r="Y498" s="51"/>
      <c r="Z498" s="51"/>
      <c r="AA498" s="51"/>
      <c r="AB498" s="51"/>
      <c r="AC498" s="51"/>
      <c r="AD498" s="51"/>
    </row>
    <row r="499" spans="1:30" x14ac:dyDescent="0.3">
      <c r="A499" s="51"/>
      <c r="B499" s="51"/>
      <c r="C499" s="51"/>
      <c r="D499" s="51"/>
      <c r="E499" s="51"/>
      <c r="H499" s="52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X499" s="51"/>
      <c r="Y499" s="51"/>
      <c r="Z499" s="51"/>
      <c r="AA499" s="51"/>
      <c r="AB499" s="51"/>
      <c r="AC499" s="51"/>
      <c r="AD499" s="51"/>
    </row>
    <row r="500" spans="1:30" x14ac:dyDescent="0.3">
      <c r="A500" s="51"/>
      <c r="B500" s="51"/>
      <c r="C500" s="51"/>
      <c r="D500" s="51"/>
      <c r="E500" s="51"/>
      <c r="H500" s="52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X500" s="51"/>
      <c r="Y500" s="51"/>
      <c r="Z500" s="51"/>
      <c r="AA500" s="51"/>
      <c r="AB500" s="51"/>
      <c r="AC500" s="51"/>
      <c r="AD500" s="51"/>
    </row>
    <row r="501" spans="1:30" x14ac:dyDescent="0.3">
      <c r="A501" s="51"/>
      <c r="B501" s="51"/>
      <c r="C501" s="51"/>
      <c r="D501" s="51"/>
      <c r="E501" s="51"/>
      <c r="H501" s="52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X501" s="51"/>
      <c r="Y501" s="51"/>
      <c r="Z501" s="51"/>
      <c r="AA501" s="51"/>
      <c r="AB501" s="51"/>
      <c r="AC501" s="51"/>
      <c r="AD501" s="51"/>
    </row>
    <row r="502" spans="1:30" x14ac:dyDescent="0.3">
      <c r="A502" s="51"/>
      <c r="B502" s="51"/>
      <c r="C502" s="51"/>
      <c r="D502" s="51"/>
      <c r="E502" s="51"/>
      <c r="H502" s="52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X502" s="51"/>
      <c r="Y502" s="51"/>
      <c r="Z502" s="51"/>
      <c r="AA502" s="51"/>
      <c r="AB502" s="51"/>
      <c r="AC502" s="51"/>
      <c r="AD502" s="51"/>
    </row>
    <row r="503" spans="1:30" x14ac:dyDescent="0.3">
      <c r="A503" s="51"/>
      <c r="B503" s="51"/>
      <c r="C503" s="51"/>
      <c r="D503" s="51"/>
      <c r="E503" s="51"/>
      <c r="H503" s="52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X503" s="51"/>
      <c r="Y503" s="51"/>
      <c r="Z503" s="51"/>
      <c r="AA503" s="51"/>
      <c r="AB503" s="51"/>
      <c r="AC503" s="51"/>
      <c r="AD503" s="51"/>
    </row>
    <row r="504" spans="1:30" x14ac:dyDescent="0.3">
      <c r="A504" s="51"/>
      <c r="B504" s="51"/>
      <c r="C504" s="51"/>
      <c r="D504" s="51"/>
      <c r="E504" s="51"/>
      <c r="H504" s="52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X504" s="51"/>
      <c r="Y504" s="51"/>
      <c r="Z504" s="51"/>
      <c r="AA504" s="51"/>
      <c r="AB504" s="51"/>
      <c r="AC504" s="51"/>
      <c r="AD504" s="51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E009F-E6AA-4CE5-B976-C46F07C14A79}">
  <sheetPr codeName="Sheet14"/>
  <dimension ref="A1:U5"/>
  <sheetViews>
    <sheetView topLeftCell="E1" workbookViewId="0">
      <selection activeCell="R2" sqref="R2"/>
    </sheetView>
  </sheetViews>
  <sheetFormatPr defaultColWidth="9.77734375" defaultRowHeight="15.6" customHeight="1" x14ac:dyDescent="0.3"/>
  <cols>
    <col min="1" max="5" width="9.77734375" style="182"/>
    <col min="6" max="6" width="12.21875" style="182" customWidth="1"/>
    <col min="7" max="10" width="9.77734375" style="182"/>
    <col min="11" max="11" width="11.77734375" style="182" customWidth="1"/>
    <col min="12" max="19" width="9.77734375" style="182"/>
    <col min="20" max="20" width="12.21875" style="182" customWidth="1"/>
    <col min="21" max="16384" width="9.77734375" style="182"/>
  </cols>
  <sheetData>
    <row r="1" spans="1:21" s="7" customFormat="1" ht="65.099999999999994" customHeight="1" x14ac:dyDescent="0.3">
      <c r="A1" s="183" t="s">
        <v>1207</v>
      </c>
      <c r="B1" s="184" t="s">
        <v>74</v>
      </c>
      <c r="C1" s="184" t="s">
        <v>40</v>
      </c>
      <c r="D1" s="184" t="s">
        <v>1197</v>
      </c>
      <c r="E1" s="184" t="s">
        <v>1223</v>
      </c>
      <c r="F1" s="184" t="s">
        <v>1208</v>
      </c>
      <c r="G1" s="184" t="s">
        <v>1209</v>
      </c>
      <c r="H1" s="184" t="s">
        <v>1210</v>
      </c>
      <c r="I1" s="184" t="s">
        <v>1211</v>
      </c>
      <c r="J1" s="184" t="s">
        <v>1212</v>
      </c>
      <c r="K1" s="184" t="s">
        <v>1213</v>
      </c>
      <c r="L1" s="184" t="s">
        <v>1214</v>
      </c>
      <c r="M1" s="184" t="s">
        <v>1215</v>
      </c>
      <c r="N1" s="184" t="s">
        <v>1216</v>
      </c>
      <c r="O1" s="184" t="s">
        <v>1217</v>
      </c>
      <c r="P1" s="184" t="s">
        <v>1224</v>
      </c>
      <c r="Q1" s="184" t="s">
        <v>1218</v>
      </c>
      <c r="R1" s="184" t="s">
        <v>1219</v>
      </c>
      <c r="S1" s="184" t="s">
        <v>1220</v>
      </c>
      <c r="T1" s="184" t="s">
        <v>1221</v>
      </c>
      <c r="U1" s="184" t="s">
        <v>1222</v>
      </c>
    </row>
    <row r="2" spans="1:21" ht="15.6" customHeight="1" x14ac:dyDescent="0.3">
      <c r="A2" s="185">
        <v>1</v>
      </c>
      <c r="B2" s="190">
        <f>Curtailment[[#This Row],[Date]]-DAY(Curtailment[[#This Row],[Date]])+1</f>
        <v>45870</v>
      </c>
      <c r="C2" s="186">
        <v>45870</v>
      </c>
      <c r="D2" s="9"/>
      <c r="E2" s="9"/>
      <c r="F2" s="9"/>
      <c r="G2" s="9"/>
      <c r="H2" s="187"/>
      <c r="I2" s="187"/>
      <c r="J2" s="187">
        <f>I2-H2</f>
        <v>0</v>
      </c>
      <c r="K2" s="187">
        <f>(J2/0.041677)</f>
        <v>0</v>
      </c>
      <c r="L2" s="9"/>
      <c r="M2" s="9"/>
      <c r="N2" s="188"/>
      <c r="O2" s="188">
        <f t="shared" ref="O2:O5" si="0">(N2-M2)</f>
        <v>0</v>
      </c>
      <c r="P2" s="188"/>
      <c r="Q2" s="198"/>
      <c r="R2" s="189">
        <f>(M2*P2*Q2)/100</f>
        <v>0</v>
      </c>
      <c r="S2" s="9"/>
      <c r="T2" s="9"/>
      <c r="U2" s="9"/>
    </row>
    <row r="3" spans="1:21" ht="15.6" customHeight="1" x14ac:dyDescent="0.3">
      <c r="A3" s="185">
        <v>2</v>
      </c>
      <c r="B3" s="190">
        <f>Curtailment[[#This Row],[Date]]-DAY(Curtailment[[#This Row],[Date]])+1</f>
        <v>1</v>
      </c>
      <c r="C3" s="186"/>
      <c r="D3" s="9"/>
      <c r="E3" s="9"/>
      <c r="F3" s="9"/>
      <c r="G3" s="9"/>
      <c r="H3" s="187"/>
      <c r="I3" s="187"/>
      <c r="J3" s="187">
        <f>I3-H3</f>
        <v>0</v>
      </c>
      <c r="K3" s="187">
        <f>(J3/0.041677)</f>
        <v>0</v>
      </c>
      <c r="L3" s="9"/>
      <c r="M3" s="9"/>
      <c r="N3" s="188"/>
      <c r="O3" s="188">
        <f t="shared" si="0"/>
        <v>0</v>
      </c>
      <c r="P3" s="188"/>
      <c r="Q3" s="198"/>
      <c r="R3" s="189">
        <f t="shared" ref="R3:R5" si="1">(M3*P3*Q3)/100</f>
        <v>0</v>
      </c>
      <c r="S3" s="9"/>
      <c r="T3" s="9"/>
      <c r="U3" s="9"/>
    </row>
    <row r="4" spans="1:21" ht="15.6" customHeight="1" x14ac:dyDescent="0.3">
      <c r="A4" s="185">
        <v>3</v>
      </c>
      <c r="B4" s="190">
        <f>Curtailment[[#This Row],[Date]]-DAY(Curtailment[[#This Row],[Date]])+1</f>
        <v>1</v>
      </c>
      <c r="C4" s="186"/>
      <c r="D4" s="9"/>
      <c r="E4" s="9"/>
      <c r="F4" s="9"/>
      <c r="G4" s="9"/>
      <c r="H4" s="187"/>
      <c r="I4" s="187"/>
      <c r="J4" s="187">
        <f t="shared" ref="J4:J5" si="2">I4-H4</f>
        <v>0</v>
      </c>
      <c r="K4" s="187">
        <f t="shared" ref="K4:K5" si="3">(J4/0.041677)</f>
        <v>0</v>
      </c>
      <c r="L4" s="9"/>
      <c r="M4" s="9"/>
      <c r="N4" s="188"/>
      <c r="O4" s="188">
        <f t="shared" si="0"/>
        <v>0</v>
      </c>
      <c r="P4" s="188"/>
      <c r="Q4" s="198"/>
      <c r="R4" s="189">
        <f t="shared" si="1"/>
        <v>0</v>
      </c>
      <c r="S4" s="9"/>
      <c r="T4" s="9"/>
      <c r="U4" s="9"/>
    </row>
    <row r="5" spans="1:21" ht="15.6" customHeight="1" x14ac:dyDescent="0.3">
      <c r="A5" s="191">
        <v>4</v>
      </c>
      <c r="B5" s="192">
        <f>Curtailment[[#This Row],[Date]]-DAY(Curtailment[[#This Row],[Date]])+1</f>
        <v>1</v>
      </c>
      <c r="C5" s="193"/>
      <c r="D5" s="194"/>
      <c r="E5" s="194"/>
      <c r="F5" s="194"/>
      <c r="G5" s="194"/>
      <c r="H5" s="195"/>
      <c r="I5" s="195"/>
      <c r="J5" s="195">
        <f t="shared" si="2"/>
        <v>0</v>
      </c>
      <c r="K5" s="195">
        <f t="shared" si="3"/>
        <v>0</v>
      </c>
      <c r="L5" s="194"/>
      <c r="M5" s="194"/>
      <c r="N5" s="196"/>
      <c r="O5" s="196">
        <f t="shared" si="0"/>
        <v>0</v>
      </c>
      <c r="P5" s="196"/>
      <c r="Q5" s="199"/>
      <c r="R5" s="197">
        <f t="shared" si="1"/>
        <v>0</v>
      </c>
      <c r="S5" s="194"/>
      <c r="T5" s="194"/>
      <c r="U5" s="19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77734375" defaultRowHeight="14.4" x14ac:dyDescent="0.3"/>
  <cols>
    <col min="1" max="4" width="13.44140625" style="7" customWidth="1"/>
    <col min="5" max="5" width="10.77734375" style="7" customWidth="1"/>
    <col min="6" max="7" width="9.21875" style="7"/>
    <col min="8" max="8" width="12.21875" style="7" bestFit="1" customWidth="1"/>
    <col min="9" max="9" width="8.44140625" style="7" customWidth="1"/>
    <col min="10" max="10" width="21.21875" style="7" customWidth="1"/>
    <col min="11" max="12" width="10.5546875" style="7" customWidth="1"/>
    <col min="13" max="13" width="12.5546875" style="7" customWidth="1"/>
    <col min="14" max="14" width="27.21875" style="7" customWidth="1"/>
    <col min="15" max="15" width="46" style="7" bestFit="1" customWidth="1"/>
    <col min="16" max="16" width="19.77734375" style="7" customWidth="1"/>
    <col min="17" max="16384" width="8.77734375" style="7"/>
  </cols>
  <sheetData>
    <row r="1" spans="1:15" hidden="1" x14ac:dyDescent="0.3"/>
    <row r="2" spans="1:15" ht="27.6" x14ac:dyDescent="0.3">
      <c r="A2" s="64" t="s">
        <v>57</v>
      </c>
      <c r="B2" s="64" t="s">
        <v>51</v>
      </c>
      <c r="C2" s="64" t="s">
        <v>52</v>
      </c>
      <c r="D2" s="64" t="s">
        <v>53</v>
      </c>
      <c r="E2" s="64" t="s">
        <v>56</v>
      </c>
      <c r="F2" s="64" t="s">
        <v>39</v>
      </c>
      <c r="G2" s="62" t="s">
        <v>54</v>
      </c>
      <c r="H2" s="64" t="s">
        <v>40</v>
      </c>
      <c r="I2" s="64" t="s">
        <v>132</v>
      </c>
      <c r="J2" s="64" t="s">
        <v>133</v>
      </c>
      <c r="K2" s="64" t="s">
        <v>168</v>
      </c>
      <c r="L2" s="64" t="s">
        <v>169</v>
      </c>
      <c r="M2" s="64" t="s">
        <v>170</v>
      </c>
      <c r="N2" s="64" t="s">
        <v>141</v>
      </c>
      <c r="O2" s="64" t="s">
        <v>139</v>
      </c>
    </row>
    <row r="3" spans="1:15" x14ac:dyDescent="0.3">
      <c r="A3" s="66">
        <v>1</v>
      </c>
      <c r="B3" s="167">
        <f>YEAR(Table911[[#This Row],[Date]])+IF(MONTH(Table911[[#This Row],[Date]])&gt;=4,1,0)</f>
        <v>2026</v>
      </c>
      <c r="C3" s="66">
        <f>YEAR(Table911[[#This Row],[Date]])</f>
        <v>2025</v>
      </c>
      <c r="D3" s="66" t="s">
        <v>1070</v>
      </c>
      <c r="E3" s="7" t="s">
        <v>1070</v>
      </c>
      <c r="F3" s="7" t="str">
        <f>TEXT(Table911[[#This Row],[Date]],"mmm-yy")</f>
        <v>Apr-25</v>
      </c>
      <c r="G3" s="168">
        <f t="shared" ref="G3:G23" si="0">DAY(EOMONTH(F3,0))</f>
        <v>30</v>
      </c>
      <c r="H3" s="166">
        <v>45748</v>
      </c>
      <c r="I3" s="169"/>
      <c r="J3" s="170"/>
      <c r="K3" s="66"/>
      <c r="L3" s="66"/>
      <c r="M3" s="66"/>
      <c r="N3" s="7">
        <f>IFERROR(SUM(Table911[[#This Row],[Inv1]:[Inv3]]),"")</f>
        <v>0</v>
      </c>
      <c r="O3" s="66"/>
    </row>
    <row r="4" spans="1:15" x14ac:dyDescent="0.3">
      <c r="A4" s="66">
        <f>A3+1</f>
        <v>2</v>
      </c>
      <c r="B4" s="167">
        <f>YEAR(Table911[[#This Row],[Date]])+IF(MONTH(Table911[[#This Row],[Date]])&gt;=4,1,0)</f>
        <v>2026</v>
      </c>
      <c r="C4" s="66">
        <f>YEAR(Table911[[#This Row],[Date]])</f>
        <v>2025</v>
      </c>
      <c r="D4" s="66" t="s">
        <v>1070</v>
      </c>
      <c r="E4" s="7" t="s">
        <v>1070</v>
      </c>
      <c r="F4" s="7" t="str">
        <f>TEXT(Table911[[#This Row],[Date]],"mmm-yy")</f>
        <v>Apr-25</v>
      </c>
      <c r="G4" s="168">
        <f t="shared" si="0"/>
        <v>30</v>
      </c>
      <c r="H4" s="166">
        <f t="shared" ref="H4:H13" si="1">H3+1</f>
        <v>45749</v>
      </c>
      <c r="I4" s="169"/>
      <c r="J4" s="170"/>
      <c r="K4" s="66"/>
      <c r="L4" s="66"/>
      <c r="M4" s="66"/>
      <c r="N4" s="7">
        <f>IFERROR(SUM(Table911[[#This Row],[Inv1]:[Inv3]]),"")</f>
        <v>0</v>
      </c>
      <c r="O4" s="66"/>
    </row>
    <row r="5" spans="1:15" x14ac:dyDescent="0.3">
      <c r="A5" s="66">
        <f t="shared" ref="A5:A23" si="2">A4+1</f>
        <v>3</v>
      </c>
      <c r="B5" s="167">
        <f>YEAR(Table911[[#This Row],[Date]])+IF(MONTH(Table911[[#This Row],[Date]])&gt;=4,1,0)</f>
        <v>2026</v>
      </c>
      <c r="C5" s="66">
        <f>YEAR(Table911[[#This Row],[Date]])</f>
        <v>2025</v>
      </c>
      <c r="D5" s="66" t="s">
        <v>1070</v>
      </c>
      <c r="E5" s="7" t="s">
        <v>1070</v>
      </c>
      <c r="F5" s="7" t="str">
        <f>TEXT(Table911[[#This Row],[Date]],"mmm-yy")</f>
        <v>Apr-25</v>
      </c>
      <c r="G5" s="168">
        <f t="shared" si="0"/>
        <v>30</v>
      </c>
      <c r="H5" s="166">
        <f t="shared" si="1"/>
        <v>45750</v>
      </c>
      <c r="I5" s="169"/>
      <c r="J5" s="170"/>
      <c r="K5" s="66"/>
      <c r="L5" s="66"/>
      <c r="M5" s="66"/>
      <c r="N5" s="7">
        <f>IFERROR(SUM(Table911[[#This Row],[Inv1]:[Inv3]]),"")</f>
        <v>0</v>
      </c>
      <c r="O5" s="66"/>
    </row>
    <row r="6" spans="1:15" x14ac:dyDescent="0.3">
      <c r="A6" s="66">
        <f t="shared" si="2"/>
        <v>4</v>
      </c>
      <c r="B6" s="167">
        <f>YEAR(Table911[[#This Row],[Date]])+IF(MONTH(Table911[[#This Row],[Date]])&gt;=4,1,0)</f>
        <v>2026</v>
      </c>
      <c r="C6" s="66">
        <f>YEAR(Table911[[#This Row],[Date]])</f>
        <v>2025</v>
      </c>
      <c r="D6" s="66" t="s">
        <v>1070</v>
      </c>
      <c r="E6" s="7" t="s">
        <v>1070</v>
      </c>
      <c r="F6" s="7" t="str">
        <f>TEXT(Table911[[#This Row],[Date]],"mmm-yy")</f>
        <v>Apr-25</v>
      </c>
      <c r="G6" s="168">
        <f t="shared" si="0"/>
        <v>30</v>
      </c>
      <c r="H6" s="166">
        <f t="shared" si="1"/>
        <v>45751</v>
      </c>
      <c r="I6" s="169"/>
      <c r="J6" s="170"/>
      <c r="K6" s="66"/>
      <c r="L6" s="66"/>
      <c r="M6" s="66"/>
      <c r="N6" s="7">
        <f>IFERROR(SUM(Table911[[#This Row],[Inv1]:[Inv3]]),"")</f>
        <v>0</v>
      </c>
      <c r="O6" s="66"/>
    </row>
    <row r="7" spans="1:15" x14ac:dyDescent="0.3">
      <c r="A7" s="66">
        <f t="shared" si="2"/>
        <v>5</v>
      </c>
      <c r="B7" s="167">
        <f>YEAR(Table911[[#This Row],[Date]])+IF(MONTH(Table911[[#This Row],[Date]])&gt;=4,1,0)</f>
        <v>2026</v>
      </c>
      <c r="C7" s="66">
        <f>YEAR(Table911[[#This Row],[Date]])</f>
        <v>2025</v>
      </c>
      <c r="D7" s="66" t="s">
        <v>1070</v>
      </c>
      <c r="E7" s="7" t="s">
        <v>1070</v>
      </c>
      <c r="F7" s="7" t="str">
        <f>TEXT(Table911[[#This Row],[Date]],"mmm-yy")</f>
        <v>Apr-25</v>
      </c>
      <c r="G7" s="168">
        <f t="shared" si="0"/>
        <v>30</v>
      </c>
      <c r="H7" s="166">
        <f t="shared" si="1"/>
        <v>45752</v>
      </c>
      <c r="I7" s="66"/>
      <c r="J7" s="66"/>
      <c r="K7" s="66"/>
      <c r="L7" s="66"/>
      <c r="M7" s="66"/>
      <c r="N7" s="7">
        <f>IFERROR(SUM(Table911[[#This Row],[Inv1]:[Inv3]]),"")</f>
        <v>0</v>
      </c>
      <c r="O7" s="66"/>
    </row>
    <row r="8" spans="1:15" x14ac:dyDescent="0.3">
      <c r="A8" s="66">
        <f t="shared" si="2"/>
        <v>6</v>
      </c>
      <c r="B8" s="167">
        <f>YEAR(Table911[[#This Row],[Date]])+IF(MONTH(Table911[[#This Row],[Date]])&gt;=4,1,0)</f>
        <v>2026</v>
      </c>
      <c r="C8" s="66">
        <f>YEAR(Table911[[#This Row],[Date]])</f>
        <v>2025</v>
      </c>
      <c r="D8" s="66" t="s">
        <v>1070</v>
      </c>
      <c r="E8" s="7" t="s">
        <v>1070</v>
      </c>
      <c r="F8" s="7" t="str">
        <f>TEXT(Table911[[#This Row],[Date]],"mmm-yy")</f>
        <v>Apr-25</v>
      </c>
      <c r="G8" s="168">
        <f t="shared" si="0"/>
        <v>30</v>
      </c>
      <c r="H8" s="166">
        <f t="shared" si="1"/>
        <v>45753</v>
      </c>
      <c r="I8" s="169"/>
      <c r="J8" s="170"/>
      <c r="K8" s="66"/>
      <c r="L8" s="66"/>
      <c r="M8" s="66"/>
      <c r="N8" s="7">
        <f>IFERROR(SUM(Table911[[#This Row],[Inv1]:[Inv3]]),"")</f>
        <v>0</v>
      </c>
      <c r="O8" s="66"/>
    </row>
    <row r="9" spans="1:15" x14ac:dyDescent="0.3">
      <c r="A9" s="66">
        <f t="shared" si="2"/>
        <v>7</v>
      </c>
      <c r="B9" s="167">
        <f>YEAR(Table911[[#This Row],[Date]])+IF(MONTH(Table911[[#This Row],[Date]])&gt;=4,1,0)</f>
        <v>2026</v>
      </c>
      <c r="C9" s="66">
        <f>YEAR(Table911[[#This Row],[Date]])</f>
        <v>2025</v>
      </c>
      <c r="D9" s="66" t="s">
        <v>1070</v>
      </c>
      <c r="E9" s="7" t="s">
        <v>1070</v>
      </c>
      <c r="F9" s="7" t="str">
        <f>TEXT(Table911[[#This Row],[Date]],"mmm-yy")</f>
        <v>Apr-25</v>
      </c>
      <c r="G9" s="168">
        <f t="shared" si="0"/>
        <v>30</v>
      </c>
      <c r="H9" s="166">
        <f t="shared" si="1"/>
        <v>45754</v>
      </c>
      <c r="I9" s="169"/>
      <c r="J9" s="170"/>
      <c r="K9" s="66"/>
      <c r="L9" s="66"/>
      <c r="M9" s="66"/>
      <c r="N9" s="7">
        <f>IFERROR(SUM(Table911[[#This Row],[Inv1]:[Inv3]]),"")</f>
        <v>0</v>
      </c>
      <c r="O9" s="66"/>
    </row>
    <row r="10" spans="1:15" x14ac:dyDescent="0.3">
      <c r="A10" s="66">
        <f t="shared" si="2"/>
        <v>8</v>
      </c>
      <c r="B10" s="167">
        <f>YEAR(Table911[[#This Row],[Date]])+IF(MONTH(Table911[[#This Row],[Date]])&gt;=4,1,0)</f>
        <v>2026</v>
      </c>
      <c r="C10" s="66">
        <f>YEAR(Table911[[#This Row],[Date]])</f>
        <v>2025</v>
      </c>
      <c r="D10" s="66" t="s">
        <v>1070</v>
      </c>
      <c r="E10" s="7" t="s">
        <v>1070</v>
      </c>
      <c r="F10" s="7" t="str">
        <f>TEXT(Table911[[#This Row],[Date]],"mmm-yy")</f>
        <v>Apr-25</v>
      </c>
      <c r="G10" s="168">
        <f t="shared" si="0"/>
        <v>30</v>
      </c>
      <c r="H10" s="166">
        <f t="shared" si="1"/>
        <v>45755</v>
      </c>
      <c r="I10" s="169"/>
      <c r="J10" s="170"/>
      <c r="K10" s="66"/>
      <c r="L10" s="66"/>
      <c r="M10" s="66"/>
      <c r="N10" s="7">
        <f>IFERROR(SUM(Table911[[#This Row],[Inv1]:[Inv3]]),"")</f>
        <v>0</v>
      </c>
      <c r="O10" s="66"/>
    </row>
    <row r="11" spans="1:15" x14ac:dyDescent="0.3">
      <c r="A11" s="66">
        <f t="shared" si="2"/>
        <v>9</v>
      </c>
      <c r="B11" s="167">
        <f>YEAR(Table911[[#This Row],[Date]])+IF(MONTH(Table911[[#This Row],[Date]])&gt;=4,1,0)</f>
        <v>2026</v>
      </c>
      <c r="C11" s="66">
        <f>YEAR(Table911[[#This Row],[Date]])</f>
        <v>2025</v>
      </c>
      <c r="D11" s="66" t="s">
        <v>1070</v>
      </c>
      <c r="E11" s="7" t="s">
        <v>1070</v>
      </c>
      <c r="F11" s="7" t="str">
        <f>TEXT(Table911[[#This Row],[Date]],"mmm-yy")</f>
        <v>Apr-25</v>
      </c>
      <c r="G11" s="168">
        <f t="shared" si="0"/>
        <v>30</v>
      </c>
      <c r="H11" s="166">
        <f t="shared" si="1"/>
        <v>45756</v>
      </c>
      <c r="I11" s="169"/>
      <c r="J11" s="170"/>
      <c r="K11" s="66"/>
      <c r="L11" s="66"/>
      <c r="M11" s="66"/>
      <c r="N11" s="7">
        <f>IFERROR(SUM(Table911[[#This Row],[Inv1]:[Inv3]]),"")</f>
        <v>0</v>
      </c>
      <c r="O11" s="66"/>
    </row>
    <row r="12" spans="1:15" x14ac:dyDescent="0.3">
      <c r="A12" s="66">
        <f t="shared" si="2"/>
        <v>10</v>
      </c>
      <c r="B12" s="167">
        <f>YEAR(Table911[[#This Row],[Date]])+IF(MONTH(Table911[[#This Row],[Date]])&gt;=4,1,0)</f>
        <v>2026</v>
      </c>
      <c r="C12" s="66">
        <f>YEAR(Table911[[#This Row],[Date]])</f>
        <v>2025</v>
      </c>
      <c r="D12" s="66" t="s">
        <v>1070</v>
      </c>
      <c r="E12" s="7" t="s">
        <v>1070</v>
      </c>
      <c r="F12" s="7" t="str">
        <f>TEXT(Table911[[#This Row],[Date]],"mmm-yy")</f>
        <v>Apr-25</v>
      </c>
      <c r="G12" s="168">
        <f t="shared" si="0"/>
        <v>30</v>
      </c>
      <c r="H12" s="166">
        <f t="shared" si="1"/>
        <v>45757</v>
      </c>
      <c r="I12" s="66"/>
      <c r="J12" s="66"/>
      <c r="K12" s="66"/>
      <c r="L12" s="66"/>
      <c r="M12" s="66"/>
      <c r="N12" s="7">
        <f>IFERROR(SUM(Table911[[#This Row],[Inv1]:[Inv3]]),"")</f>
        <v>0</v>
      </c>
      <c r="O12" s="66"/>
    </row>
    <row r="13" spans="1:15" x14ac:dyDescent="0.3">
      <c r="A13" s="66">
        <f t="shared" si="2"/>
        <v>11</v>
      </c>
      <c r="B13" s="167">
        <f>YEAR(Table911[[#This Row],[Date]])+IF(MONTH(Table911[[#This Row],[Date]])&gt;=4,1,0)</f>
        <v>2026</v>
      </c>
      <c r="C13" s="66">
        <f>YEAR(Table911[[#This Row],[Date]])</f>
        <v>2025</v>
      </c>
      <c r="D13" s="66" t="s">
        <v>1070</v>
      </c>
      <c r="E13" s="7" t="s">
        <v>1070</v>
      </c>
      <c r="F13" s="7" t="str">
        <f>TEXT(Table911[[#This Row],[Date]],"mmm-yy")</f>
        <v>Apr-25</v>
      </c>
      <c r="G13" s="168">
        <f t="shared" si="0"/>
        <v>30</v>
      </c>
      <c r="H13" s="166">
        <f t="shared" si="1"/>
        <v>45758</v>
      </c>
      <c r="I13" s="169"/>
      <c r="J13" s="170"/>
      <c r="K13" s="66"/>
      <c r="L13" s="66"/>
      <c r="M13" s="66"/>
      <c r="N13" s="7">
        <f>IFERROR(SUM(Table911[[#This Row],[Inv1]:[Inv3]]),"")</f>
        <v>0</v>
      </c>
      <c r="O13" s="66"/>
    </row>
    <row r="14" spans="1:15" x14ac:dyDescent="0.3">
      <c r="A14" s="66">
        <f t="shared" si="2"/>
        <v>12</v>
      </c>
      <c r="B14" s="167">
        <f>YEAR(Table911[[#This Row],[Date]])+IF(MONTH(Table911[[#This Row],[Date]])&gt;=4,1,0)</f>
        <v>2026</v>
      </c>
      <c r="C14" s="66">
        <f>YEAR(Table911[[#This Row],[Date]])</f>
        <v>2025</v>
      </c>
      <c r="D14" s="66" t="s">
        <v>1070</v>
      </c>
      <c r="E14" s="7" t="s">
        <v>1070</v>
      </c>
      <c r="F14" s="7" t="str">
        <f>TEXT(Table911[[#This Row],[Date]],"mmm-yy")</f>
        <v>Apr-25</v>
      </c>
      <c r="G14" s="168">
        <f t="shared" si="0"/>
        <v>30</v>
      </c>
      <c r="H14" s="166">
        <f t="shared" ref="H14:H23" si="3">H13+1</f>
        <v>45759</v>
      </c>
      <c r="I14" s="66"/>
      <c r="J14" s="66"/>
      <c r="K14" s="66"/>
      <c r="L14" s="66"/>
      <c r="M14" s="66"/>
      <c r="N14" s="7">
        <f>IFERROR(SUM(Table911[[#This Row],[Inv1]:[Inv3]]),"")</f>
        <v>0</v>
      </c>
      <c r="O14" s="66"/>
    </row>
    <row r="15" spans="1:15" x14ac:dyDescent="0.3">
      <c r="A15" s="66">
        <f t="shared" si="2"/>
        <v>13</v>
      </c>
      <c r="B15" s="167">
        <f>YEAR(Table911[[#This Row],[Date]])+IF(MONTH(Table911[[#This Row],[Date]])&gt;=4,1,0)</f>
        <v>2026</v>
      </c>
      <c r="C15" s="66">
        <f>YEAR(Table911[[#This Row],[Date]])</f>
        <v>2025</v>
      </c>
      <c r="D15" s="66" t="s">
        <v>1070</v>
      </c>
      <c r="E15" s="7" t="s">
        <v>1070</v>
      </c>
      <c r="F15" s="7" t="str">
        <f>TEXT(Table911[[#This Row],[Date]],"mmm-yy")</f>
        <v>Apr-25</v>
      </c>
      <c r="G15" s="168">
        <f t="shared" si="0"/>
        <v>30</v>
      </c>
      <c r="H15" s="166">
        <f t="shared" si="3"/>
        <v>45760</v>
      </c>
      <c r="I15" s="66"/>
      <c r="J15" s="66"/>
      <c r="K15" s="66"/>
      <c r="L15" s="66"/>
      <c r="M15" s="66"/>
      <c r="N15" s="7">
        <f>IFERROR(SUM(Table911[[#This Row],[Inv1]:[Inv3]]),"")</f>
        <v>0</v>
      </c>
      <c r="O15" s="66"/>
    </row>
    <row r="16" spans="1:15" x14ac:dyDescent="0.3">
      <c r="A16" s="66">
        <f t="shared" si="2"/>
        <v>14</v>
      </c>
      <c r="B16" s="167">
        <f>YEAR(Table911[[#This Row],[Date]])+IF(MONTH(Table911[[#This Row],[Date]])&gt;=4,1,0)</f>
        <v>2026</v>
      </c>
      <c r="C16" s="66">
        <f>YEAR(Table911[[#This Row],[Date]])</f>
        <v>2025</v>
      </c>
      <c r="D16" s="66" t="s">
        <v>1070</v>
      </c>
      <c r="E16" s="7" t="s">
        <v>1070</v>
      </c>
      <c r="F16" s="7" t="str">
        <f>TEXT(Table911[[#This Row],[Date]],"mmm-yy")</f>
        <v>Apr-25</v>
      </c>
      <c r="G16" s="168">
        <f t="shared" si="0"/>
        <v>30</v>
      </c>
      <c r="H16" s="166">
        <f t="shared" si="3"/>
        <v>45761</v>
      </c>
      <c r="I16" s="66"/>
      <c r="J16" s="66"/>
      <c r="K16" s="66"/>
      <c r="L16" s="66"/>
      <c r="M16" s="66"/>
      <c r="N16" s="7">
        <f>IFERROR(SUM(Table911[[#This Row],[Inv1]:[Inv3]]),"")</f>
        <v>0</v>
      </c>
      <c r="O16" s="66"/>
    </row>
    <row r="17" spans="1:15" x14ac:dyDescent="0.3">
      <c r="A17" s="66">
        <f t="shared" si="2"/>
        <v>15</v>
      </c>
      <c r="B17" s="167">
        <f>YEAR(Table911[[#This Row],[Date]])+IF(MONTH(Table911[[#This Row],[Date]])&gt;=4,1,0)</f>
        <v>2026</v>
      </c>
      <c r="C17" s="66">
        <f>YEAR(Table911[[#This Row],[Date]])</f>
        <v>2025</v>
      </c>
      <c r="D17" s="66" t="s">
        <v>1070</v>
      </c>
      <c r="E17" s="7" t="s">
        <v>1070</v>
      </c>
      <c r="F17" s="7" t="str">
        <f>TEXT(Table911[[#This Row],[Date]],"mmm-yy")</f>
        <v>Apr-25</v>
      </c>
      <c r="G17" s="168">
        <f t="shared" si="0"/>
        <v>30</v>
      </c>
      <c r="H17" s="166">
        <f t="shared" si="3"/>
        <v>45762</v>
      </c>
      <c r="I17" s="66"/>
      <c r="J17" s="66"/>
      <c r="K17" s="66"/>
      <c r="L17" s="66"/>
      <c r="M17" s="66"/>
      <c r="N17" s="7">
        <f>IFERROR(SUM(Table911[[#This Row],[Inv1]:[Inv3]]),"")</f>
        <v>0</v>
      </c>
      <c r="O17" s="66"/>
    </row>
    <row r="18" spans="1:15" x14ac:dyDescent="0.3">
      <c r="A18" s="66">
        <f t="shared" si="2"/>
        <v>16</v>
      </c>
      <c r="B18" s="167">
        <f>YEAR(Table911[[#This Row],[Date]])+IF(MONTH(Table911[[#This Row],[Date]])&gt;=4,1,0)</f>
        <v>2026</v>
      </c>
      <c r="C18" s="66">
        <f>YEAR(Table911[[#This Row],[Date]])</f>
        <v>2025</v>
      </c>
      <c r="D18" s="66" t="s">
        <v>1070</v>
      </c>
      <c r="E18" s="7" t="s">
        <v>1070</v>
      </c>
      <c r="F18" s="7" t="str">
        <f>TEXT(Table911[[#This Row],[Date]],"mmm-yy")</f>
        <v>Apr-25</v>
      </c>
      <c r="G18" s="168">
        <f t="shared" si="0"/>
        <v>30</v>
      </c>
      <c r="H18" s="166">
        <f t="shared" si="3"/>
        <v>45763</v>
      </c>
      <c r="I18" s="66"/>
      <c r="J18" s="66"/>
      <c r="K18" s="66"/>
      <c r="L18" s="66"/>
      <c r="M18" s="66"/>
      <c r="N18" s="7">
        <f>IFERROR(SUM(Table911[[#This Row],[Inv1]:[Inv3]]),"")</f>
        <v>0</v>
      </c>
      <c r="O18" s="66"/>
    </row>
    <row r="19" spans="1:15" x14ac:dyDescent="0.3">
      <c r="A19" s="66">
        <f t="shared" si="2"/>
        <v>17</v>
      </c>
      <c r="B19" s="167">
        <f>YEAR(Table911[[#This Row],[Date]])+IF(MONTH(Table911[[#This Row],[Date]])&gt;=4,1,0)</f>
        <v>2026</v>
      </c>
      <c r="C19" s="66">
        <f>YEAR(Table911[[#This Row],[Date]])</f>
        <v>2025</v>
      </c>
      <c r="D19" s="66" t="s">
        <v>1070</v>
      </c>
      <c r="E19" s="7" t="s">
        <v>1070</v>
      </c>
      <c r="F19" s="7" t="str">
        <f>TEXT(Table911[[#This Row],[Date]],"mmm-yy")</f>
        <v>Apr-25</v>
      </c>
      <c r="G19" s="168">
        <f t="shared" si="0"/>
        <v>30</v>
      </c>
      <c r="H19" s="166">
        <f t="shared" si="3"/>
        <v>45764</v>
      </c>
      <c r="I19" s="66"/>
      <c r="J19" s="66"/>
      <c r="K19" s="66"/>
      <c r="L19" s="66"/>
      <c r="M19" s="66"/>
      <c r="N19" s="7">
        <f>IFERROR(SUM(Table911[[#This Row],[Inv1]:[Inv3]]),"")</f>
        <v>0</v>
      </c>
      <c r="O19" s="66"/>
    </row>
    <row r="20" spans="1:15" x14ac:dyDescent="0.3">
      <c r="A20" s="66">
        <f t="shared" si="2"/>
        <v>18</v>
      </c>
      <c r="B20" s="167">
        <f>YEAR(Table911[[#This Row],[Date]])+IF(MONTH(Table911[[#This Row],[Date]])&gt;=4,1,0)</f>
        <v>2026</v>
      </c>
      <c r="C20" s="66">
        <f>YEAR(Table911[[#This Row],[Date]])</f>
        <v>2025</v>
      </c>
      <c r="D20" s="66" t="s">
        <v>1070</v>
      </c>
      <c r="E20" s="7" t="s">
        <v>1070</v>
      </c>
      <c r="F20" s="7" t="str">
        <f>TEXT(Table911[[#This Row],[Date]],"mmm-yy")</f>
        <v>Apr-25</v>
      </c>
      <c r="G20" s="168">
        <f t="shared" si="0"/>
        <v>30</v>
      </c>
      <c r="H20" s="166">
        <f t="shared" si="3"/>
        <v>45765</v>
      </c>
      <c r="I20" s="66"/>
      <c r="J20" s="66"/>
      <c r="K20" s="66"/>
      <c r="L20" s="66"/>
      <c r="M20" s="66"/>
      <c r="N20" s="7">
        <f>IFERROR(SUM(Table911[[#This Row],[Inv1]:[Inv3]]),"")</f>
        <v>0</v>
      </c>
      <c r="O20" s="66"/>
    </row>
    <row r="21" spans="1:15" x14ac:dyDescent="0.3">
      <c r="A21" s="66">
        <f t="shared" si="2"/>
        <v>19</v>
      </c>
      <c r="B21" s="167">
        <f>YEAR(Table911[[#This Row],[Date]])+IF(MONTH(Table911[[#This Row],[Date]])&gt;=4,1,0)</f>
        <v>2026</v>
      </c>
      <c r="C21" s="66">
        <f>YEAR(Table911[[#This Row],[Date]])</f>
        <v>2025</v>
      </c>
      <c r="D21" s="66" t="s">
        <v>1070</v>
      </c>
      <c r="E21" s="7" t="s">
        <v>1070</v>
      </c>
      <c r="F21" s="7" t="str">
        <f>TEXT(Table911[[#This Row],[Date]],"mmm-yy")</f>
        <v>Apr-25</v>
      </c>
      <c r="G21" s="168">
        <f t="shared" si="0"/>
        <v>30</v>
      </c>
      <c r="H21" s="166">
        <f t="shared" si="3"/>
        <v>45766</v>
      </c>
      <c r="I21" s="66"/>
      <c r="J21" s="66"/>
      <c r="K21" s="66"/>
      <c r="L21" s="66"/>
      <c r="M21" s="66"/>
      <c r="N21" s="7">
        <f>IFERROR(SUM(Table911[[#This Row],[Inv1]:[Inv3]]),"")</f>
        <v>0</v>
      </c>
      <c r="O21" s="66"/>
    </row>
    <row r="22" spans="1:15" x14ac:dyDescent="0.3">
      <c r="A22" s="66">
        <f t="shared" si="2"/>
        <v>20</v>
      </c>
      <c r="B22" s="167">
        <f>YEAR(Table911[[#This Row],[Date]])+IF(MONTH(Table911[[#This Row],[Date]])&gt;=4,1,0)</f>
        <v>2026</v>
      </c>
      <c r="C22" s="66">
        <f>YEAR(Table911[[#This Row],[Date]])</f>
        <v>2025</v>
      </c>
      <c r="D22" s="66" t="s">
        <v>1070</v>
      </c>
      <c r="E22" s="7" t="s">
        <v>1070</v>
      </c>
      <c r="F22" s="7" t="str">
        <f>TEXT(Table911[[#This Row],[Date]],"mmm-yy")</f>
        <v>Apr-25</v>
      </c>
      <c r="G22" s="168">
        <f t="shared" si="0"/>
        <v>30</v>
      </c>
      <c r="H22" s="166">
        <f t="shared" si="3"/>
        <v>45767</v>
      </c>
      <c r="I22" s="66"/>
      <c r="J22" s="66"/>
      <c r="K22" s="66"/>
      <c r="L22" s="66"/>
      <c r="M22" s="66"/>
      <c r="N22" s="7">
        <f>IFERROR(SUM(Table911[[#This Row],[Inv1]:[Inv3]]),"")</f>
        <v>0</v>
      </c>
      <c r="O22" s="66"/>
    </row>
    <row r="23" spans="1:15" x14ac:dyDescent="0.3">
      <c r="A23" s="66">
        <f t="shared" si="2"/>
        <v>21</v>
      </c>
      <c r="B23" s="167">
        <f>YEAR(Table911[[#This Row],[Date]])+IF(MONTH(Table911[[#This Row],[Date]])&gt;=4,1,0)</f>
        <v>2026</v>
      </c>
      <c r="C23" s="66">
        <f>YEAR(Table911[[#This Row],[Date]])</f>
        <v>2025</v>
      </c>
      <c r="D23" s="66" t="s">
        <v>1070</v>
      </c>
      <c r="E23" s="7" t="s">
        <v>1070</v>
      </c>
      <c r="F23" s="7" t="str">
        <f>TEXT(Table911[[#This Row],[Date]],"mmm-yy")</f>
        <v>Apr-25</v>
      </c>
      <c r="G23" s="168">
        <f t="shared" si="0"/>
        <v>30</v>
      </c>
      <c r="H23" s="166">
        <f t="shared" si="3"/>
        <v>45768</v>
      </c>
      <c r="I23" s="66"/>
      <c r="J23" s="66"/>
      <c r="K23" s="66"/>
      <c r="L23" s="66"/>
      <c r="M23" s="66"/>
      <c r="N23" s="7">
        <f>IFERROR(SUM(Table911[[#This Row],[Inv1]:[Inv3]]),"")</f>
        <v>0</v>
      </c>
      <c r="O23" s="66"/>
    </row>
    <row r="24" spans="1:15" x14ac:dyDescent="0.3">
      <c r="A24" s="66"/>
      <c r="B24" s="66"/>
      <c r="C24" s="66"/>
      <c r="D24" s="66"/>
      <c r="H24" s="66"/>
      <c r="I24" s="66"/>
      <c r="J24" s="66"/>
      <c r="K24" s="66"/>
      <c r="L24" s="66"/>
      <c r="O24" s="66"/>
    </row>
    <row r="25" spans="1:15" x14ac:dyDescent="0.3">
      <c r="A25" s="66"/>
      <c r="B25" s="66"/>
      <c r="C25" s="66"/>
      <c r="D25" s="66"/>
      <c r="H25" s="66"/>
      <c r="I25" s="66"/>
      <c r="J25" s="66"/>
      <c r="K25" s="66"/>
      <c r="L25" s="66"/>
      <c r="O25" s="66"/>
    </row>
    <row r="26" spans="1:15" x14ac:dyDescent="0.3">
      <c r="A26" s="66"/>
      <c r="B26" s="66"/>
      <c r="C26" s="66"/>
      <c r="D26" s="66"/>
      <c r="H26" s="66"/>
      <c r="I26" s="66"/>
      <c r="J26" s="66"/>
      <c r="K26" s="66"/>
      <c r="L26" s="66"/>
      <c r="O26" s="66"/>
    </row>
    <row r="27" spans="1:15" x14ac:dyDescent="0.3">
      <c r="A27" s="66"/>
      <c r="B27" s="66"/>
      <c r="C27" s="66"/>
      <c r="D27" s="66"/>
      <c r="H27" s="66"/>
      <c r="I27" s="66"/>
      <c r="J27" s="66"/>
      <c r="K27" s="66"/>
      <c r="L27" s="66"/>
      <c r="O27" s="66"/>
    </row>
    <row r="28" spans="1:15" x14ac:dyDescent="0.3">
      <c r="A28" s="66"/>
      <c r="B28" s="66"/>
      <c r="C28" s="66"/>
      <c r="D28" s="66"/>
      <c r="H28" s="66"/>
      <c r="I28" s="66"/>
      <c r="J28" s="66"/>
      <c r="K28" s="66"/>
      <c r="L28" s="66"/>
      <c r="O28" s="66"/>
    </row>
    <row r="29" spans="1:15" x14ac:dyDescent="0.3">
      <c r="A29" s="66"/>
      <c r="B29" s="66"/>
      <c r="C29" s="66"/>
      <c r="D29" s="66"/>
      <c r="H29" s="66"/>
      <c r="I29" s="66"/>
      <c r="J29" s="66"/>
      <c r="K29" s="66"/>
      <c r="L29" s="66"/>
      <c r="O29" s="66"/>
    </row>
    <row r="30" spans="1:15" x14ac:dyDescent="0.3">
      <c r="A30" s="66"/>
      <c r="B30" s="66"/>
      <c r="C30" s="66"/>
      <c r="D30" s="66"/>
      <c r="H30" s="66"/>
      <c r="I30" s="66"/>
      <c r="J30" s="66"/>
      <c r="K30" s="66"/>
      <c r="L30" s="66"/>
      <c r="O30" s="66"/>
    </row>
    <row r="31" spans="1:15" x14ac:dyDescent="0.3">
      <c r="A31" s="66"/>
      <c r="B31" s="66"/>
      <c r="C31" s="66"/>
      <c r="D31" s="66"/>
      <c r="H31" s="66"/>
      <c r="I31" s="66"/>
      <c r="J31" s="66"/>
      <c r="K31" s="66"/>
      <c r="L31" s="66"/>
      <c r="O31" s="66"/>
    </row>
    <row r="32" spans="1:15" x14ac:dyDescent="0.3">
      <c r="A32" s="66"/>
      <c r="B32" s="66"/>
      <c r="C32" s="66"/>
      <c r="D32" s="66"/>
      <c r="H32" s="66"/>
      <c r="I32" s="66"/>
      <c r="J32" s="66"/>
      <c r="K32" s="66"/>
      <c r="L32" s="66"/>
      <c r="O32" s="66"/>
    </row>
    <row r="33" spans="1:15" x14ac:dyDescent="0.3">
      <c r="A33" s="66"/>
      <c r="B33" s="66"/>
      <c r="C33" s="66"/>
      <c r="D33" s="66"/>
      <c r="H33" s="66"/>
      <c r="I33" s="66"/>
      <c r="J33" s="66"/>
      <c r="K33" s="66"/>
      <c r="L33" s="66"/>
      <c r="O33" s="66"/>
    </row>
    <row r="34" spans="1:15" x14ac:dyDescent="0.3">
      <c r="A34" s="66"/>
      <c r="B34" s="66"/>
      <c r="C34" s="66"/>
      <c r="D34" s="66"/>
      <c r="H34" s="66"/>
      <c r="I34" s="66"/>
      <c r="J34" s="66"/>
      <c r="K34" s="66"/>
      <c r="L34" s="66"/>
      <c r="O34" s="66"/>
    </row>
    <row r="35" spans="1:15" x14ac:dyDescent="0.3">
      <c r="A35" s="66"/>
      <c r="B35" s="66"/>
      <c r="C35" s="66"/>
      <c r="D35" s="66"/>
      <c r="H35" s="66"/>
      <c r="I35" s="66"/>
      <c r="J35" s="66"/>
      <c r="K35" s="66"/>
      <c r="L35" s="66"/>
      <c r="O35" s="66"/>
    </row>
    <row r="36" spans="1:15" x14ac:dyDescent="0.3">
      <c r="A36" s="66"/>
      <c r="B36" s="66"/>
      <c r="C36" s="66"/>
      <c r="D36" s="66"/>
      <c r="H36" s="66"/>
      <c r="I36" s="66"/>
      <c r="J36" s="66"/>
      <c r="K36" s="66"/>
      <c r="L36" s="66"/>
      <c r="O36" s="66"/>
    </row>
    <row r="37" spans="1:15" x14ac:dyDescent="0.3">
      <c r="A37" s="66"/>
      <c r="B37" s="66"/>
      <c r="C37" s="66"/>
      <c r="D37" s="66"/>
      <c r="H37" s="66"/>
      <c r="I37" s="66"/>
      <c r="J37" s="66"/>
      <c r="K37" s="66"/>
      <c r="L37" s="66"/>
      <c r="O37" s="66"/>
    </row>
    <row r="38" spans="1:15" x14ac:dyDescent="0.3">
      <c r="A38" s="66"/>
      <c r="B38" s="66"/>
      <c r="C38" s="66"/>
      <c r="D38" s="66"/>
      <c r="H38" s="66"/>
      <c r="I38" s="66"/>
      <c r="J38" s="66"/>
      <c r="K38" s="66"/>
      <c r="L38" s="66"/>
      <c r="O38" s="66"/>
    </row>
    <row r="39" spans="1:15" x14ac:dyDescent="0.3">
      <c r="A39" s="66"/>
      <c r="B39" s="66"/>
      <c r="C39" s="66"/>
      <c r="D39" s="66"/>
      <c r="H39" s="66"/>
      <c r="I39" s="66"/>
      <c r="J39" s="66"/>
      <c r="K39" s="66"/>
      <c r="L39" s="66"/>
      <c r="O39" s="66"/>
    </row>
    <row r="40" spans="1:15" x14ac:dyDescent="0.3">
      <c r="A40" s="66"/>
      <c r="B40" s="66"/>
      <c r="C40" s="66"/>
      <c r="D40" s="66"/>
      <c r="H40" s="66"/>
      <c r="I40" s="66"/>
      <c r="J40" s="66"/>
      <c r="K40" s="66"/>
      <c r="L40" s="66"/>
      <c r="O40" s="66"/>
    </row>
    <row r="41" spans="1:15" x14ac:dyDescent="0.3">
      <c r="A41" s="66"/>
      <c r="B41" s="66"/>
      <c r="C41" s="66"/>
      <c r="D41" s="66"/>
      <c r="H41" s="66"/>
      <c r="I41" s="66"/>
      <c r="J41" s="66"/>
      <c r="K41" s="66"/>
      <c r="L41" s="66"/>
      <c r="O41" s="66"/>
    </row>
    <row r="42" spans="1:15" x14ac:dyDescent="0.3">
      <c r="A42" s="66"/>
      <c r="B42" s="66"/>
      <c r="C42" s="66"/>
      <c r="D42" s="66"/>
      <c r="H42" s="66"/>
      <c r="I42" s="66"/>
      <c r="J42" s="66"/>
      <c r="K42" s="66"/>
      <c r="L42" s="66"/>
      <c r="O42" s="66"/>
    </row>
    <row r="43" spans="1:15" x14ac:dyDescent="0.3">
      <c r="A43" s="66"/>
      <c r="B43" s="66"/>
      <c r="C43" s="66"/>
      <c r="D43" s="66"/>
      <c r="H43" s="66"/>
      <c r="I43" s="66"/>
      <c r="J43" s="66"/>
      <c r="K43" s="66"/>
      <c r="L43" s="66"/>
      <c r="O43" s="66"/>
    </row>
    <row r="44" spans="1:15" x14ac:dyDescent="0.3">
      <c r="A44" s="66"/>
      <c r="B44" s="66"/>
      <c r="C44" s="66"/>
      <c r="D44" s="66"/>
      <c r="H44" s="66"/>
      <c r="I44" s="66"/>
      <c r="J44" s="66"/>
      <c r="K44" s="66"/>
      <c r="L44" s="66"/>
      <c r="O44" s="66"/>
    </row>
    <row r="45" spans="1:15" x14ac:dyDescent="0.3">
      <c r="A45" s="66"/>
      <c r="B45" s="66"/>
      <c r="C45" s="66"/>
      <c r="D45" s="66"/>
      <c r="H45" s="66"/>
      <c r="I45" s="66"/>
      <c r="J45" s="66"/>
      <c r="K45" s="66"/>
      <c r="L45" s="66"/>
      <c r="O45" s="66"/>
    </row>
    <row r="46" spans="1:15" x14ac:dyDescent="0.3">
      <c r="A46" s="66"/>
      <c r="B46" s="66"/>
      <c r="C46" s="66"/>
      <c r="D46" s="66"/>
      <c r="H46" s="66"/>
      <c r="I46" s="66"/>
      <c r="J46" s="66"/>
      <c r="K46" s="66"/>
      <c r="L46" s="66"/>
      <c r="O46" s="66"/>
    </row>
    <row r="47" spans="1:15" x14ac:dyDescent="0.3">
      <c r="A47" s="66"/>
      <c r="B47" s="66"/>
      <c r="C47" s="66"/>
      <c r="D47" s="66"/>
      <c r="H47" s="66"/>
      <c r="I47" s="66"/>
      <c r="J47" s="66"/>
      <c r="K47" s="66"/>
      <c r="L47" s="66"/>
      <c r="O47" s="66"/>
    </row>
    <row r="48" spans="1:15" x14ac:dyDescent="0.3">
      <c r="A48" s="66"/>
      <c r="B48" s="66"/>
      <c r="C48" s="66"/>
      <c r="D48" s="66"/>
      <c r="H48" s="66"/>
      <c r="I48" s="66"/>
      <c r="J48" s="66"/>
      <c r="K48" s="66"/>
      <c r="L48" s="66"/>
      <c r="O48" s="66"/>
    </row>
    <row r="49" spans="1:15" x14ac:dyDescent="0.3">
      <c r="A49" s="66"/>
      <c r="B49" s="66"/>
      <c r="C49" s="66"/>
      <c r="D49" s="66"/>
      <c r="H49" s="66"/>
      <c r="I49" s="66"/>
      <c r="J49" s="66"/>
      <c r="K49" s="66"/>
      <c r="L49" s="66"/>
      <c r="O49" s="66"/>
    </row>
    <row r="50" spans="1:15" x14ac:dyDescent="0.3">
      <c r="A50" s="66"/>
      <c r="B50" s="66"/>
      <c r="C50" s="66"/>
      <c r="D50" s="66"/>
      <c r="H50" s="66"/>
      <c r="I50" s="66"/>
      <c r="J50" s="66"/>
      <c r="K50" s="66"/>
      <c r="L50" s="66"/>
      <c r="O50" s="66"/>
    </row>
    <row r="51" spans="1:15" x14ac:dyDescent="0.3">
      <c r="A51" s="66"/>
      <c r="B51" s="66"/>
      <c r="C51" s="66"/>
      <c r="D51" s="66"/>
      <c r="H51" s="66"/>
      <c r="I51" s="66"/>
      <c r="J51" s="66"/>
      <c r="K51" s="66"/>
      <c r="L51" s="66"/>
      <c r="O51" s="66"/>
    </row>
    <row r="52" spans="1:15" x14ac:dyDescent="0.3">
      <c r="A52" s="66"/>
      <c r="B52" s="66"/>
      <c r="C52" s="66"/>
      <c r="D52" s="66"/>
      <c r="H52" s="66"/>
      <c r="I52" s="66"/>
      <c r="J52" s="66"/>
      <c r="K52" s="66"/>
      <c r="L52" s="66"/>
      <c r="O52" s="66"/>
    </row>
    <row r="53" spans="1:15" x14ac:dyDescent="0.3">
      <c r="A53" s="66"/>
      <c r="B53" s="66"/>
      <c r="C53" s="66"/>
      <c r="D53" s="66"/>
      <c r="H53" s="66"/>
      <c r="I53" s="66"/>
      <c r="J53" s="66"/>
      <c r="K53" s="66"/>
      <c r="L53" s="66"/>
      <c r="O53" s="66"/>
    </row>
    <row r="54" spans="1:15" x14ac:dyDescent="0.3">
      <c r="A54" s="66"/>
      <c r="B54" s="66"/>
      <c r="C54" s="66"/>
      <c r="D54" s="66"/>
      <c r="H54" s="66"/>
      <c r="I54" s="66"/>
      <c r="J54" s="66"/>
      <c r="K54" s="66"/>
      <c r="L54" s="66"/>
      <c r="O54" s="66"/>
    </row>
    <row r="55" spans="1:15" x14ac:dyDescent="0.3">
      <c r="A55" s="66"/>
      <c r="B55" s="66"/>
      <c r="C55" s="66"/>
      <c r="D55" s="66"/>
      <c r="H55" s="66"/>
      <c r="I55" s="66"/>
      <c r="J55" s="66"/>
      <c r="K55" s="66"/>
      <c r="L55" s="66"/>
      <c r="O55" s="66"/>
    </row>
    <row r="56" spans="1:15" x14ac:dyDescent="0.3">
      <c r="A56" s="66"/>
      <c r="B56" s="66"/>
      <c r="C56" s="66"/>
      <c r="D56" s="66"/>
      <c r="H56" s="66"/>
      <c r="I56" s="66"/>
      <c r="J56" s="66"/>
      <c r="K56" s="66"/>
      <c r="L56" s="66"/>
      <c r="O56" s="66"/>
    </row>
    <row r="57" spans="1:15" x14ac:dyDescent="0.3">
      <c r="A57" s="66"/>
      <c r="B57" s="66"/>
      <c r="C57" s="66"/>
      <c r="D57" s="66"/>
      <c r="H57" s="66"/>
      <c r="I57" s="66"/>
      <c r="J57" s="66"/>
      <c r="K57" s="66"/>
      <c r="L57" s="66"/>
      <c r="O57" s="66"/>
    </row>
    <row r="58" spans="1:15" x14ac:dyDescent="0.3">
      <c r="A58" s="66"/>
      <c r="B58" s="66"/>
      <c r="C58" s="66"/>
      <c r="D58" s="66"/>
      <c r="H58" s="66"/>
      <c r="I58" s="66"/>
      <c r="J58" s="66"/>
      <c r="K58" s="66"/>
      <c r="L58" s="66"/>
      <c r="O58" s="66"/>
    </row>
    <row r="59" spans="1:15" x14ac:dyDescent="0.3">
      <c r="A59" s="66"/>
      <c r="B59" s="66"/>
      <c r="C59" s="66"/>
      <c r="D59" s="66"/>
      <c r="H59" s="66"/>
      <c r="I59" s="66"/>
      <c r="J59" s="66"/>
      <c r="K59" s="66"/>
      <c r="L59" s="66"/>
      <c r="O59" s="66"/>
    </row>
    <row r="60" spans="1:15" x14ac:dyDescent="0.3">
      <c r="A60" s="66"/>
      <c r="B60" s="66"/>
      <c r="C60" s="66"/>
      <c r="D60" s="66"/>
      <c r="H60" s="66"/>
      <c r="I60" s="66"/>
      <c r="J60" s="66"/>
      <c r="K60" s="66"/>
      <c r="L60" s="66"/>
      <c r="O60" s="66"/>
    </row>
    <row r="61" spans="1:15" x14ac:dyDescent="0.3">
      <c r="A61" s="66"/>
      <c r="B61" s="66"/>
      <c r="C61" s="66"/>
      <c r="D61" s="66"/>
      <c r="H61" s="66"/>
      <c r="I61" s="66"/>
      <c r="J61" s="66"/>
      <c r="K61" s="66"/>
      <c r="L61" s="66"/>
      <c r="O61" s="66"/>
    </row>
    <row r="62" spans="1:15" x14ac:dyDescent="0.3">
      <c r="A62" s="66"/>
      <c r="B62" s="66"/>
      <c r="C62" s="66"/>
      <c r="D62" s="66"/>
      <c r="H62" s="66"/>
      <c r="I62" s="66"/>
      <c r="J62" s="66"/>
      <c r="K62" s="66"/>
      <c r="L62" s="66"/>
      <c r="O62" s="66"/>
    </row>
    <row r="63" spans="1:15" x14ac:dyDescent="0.3">
      <c r="A63" s="66"/>
      <c r="B63" s="66"/>
      <c r="C63" s="66"/>
      <c r="D63" s="66"/>
      <c r="H63" s="66"/>
      <c r="I63" s="66"/>
      <c r="J63" s="66"/>
      <c r="K63" s="66"/>
      <c r="L63" s="66"/>
      <c r="O63" s="66"/>
    </row>
    <row r="64" spans="1:15" x14ac:dyDescent="0.3">
      <c r="A64" s="66"/>
      <c r="B64" s="66"/>
      <c r="C64" s="66"/>
      <c r="D64" s="66"/>
      <c r="H64" s="66"/>
      <c r="I64" s="66"/>
      <c r="J64" s="66"/>
      <c r="K64" s="66"/>
      <c r="L64" s="66"/>
      <c r="O64" s="66"/>
    </row>
    <row r="65" spans="1:15" x14ac:dyDescent="0.3">
      <c r="A65" s="66"/>
      <c r="B65" s="66"/>
      <c r="C65" s="66"/>
      <c r="D65" s="66"/>
      <c r="H65" s="66"/>
      <c r="I65" s="66"/>
      <c r="J65" s="66"/>
      <c r="K65" s="66"/>
      <c r="L65" s="66"/>
      <c r="O65" s="66"/>
    </row>
    <row r="66" spans="1:15" x14ac:dyDescent="0.3">
      <c r="A66" s="66"/>
      <c r="B66" s="66"/>
      <c r="C66" s="66"/>
      <c r="D66" s="66"/>
      <c r="H66" s="66"/>
      <c r="I66" s="66"/>
      <c r="J66" s="66"/>
      <c r="K66" s="66"/>
      <c r="L66" s="66"/>
      <c r="O66" s="66"/>
    </row>
    <row r="67" spans="1:15" x14ac:dyDescent="0.3">
      <c r="A67" s="66"/>
      <c r="B67" s="66"/>
      <c r="C67" s="66"/>
      <c r="D67" s="66"/>
      <c r="H67" s="66"/>
      <c r="I67" s="66"/>
      <c r="J67" s="66"/>
      <c r="K67" s="66"/>
      <c r="L67" s="66"/>
      <c r="O67" s="66"/>
    </row>
    <row r="68" spans="1:15" x14ac:dyDescent="0.3">
      <c r="A68" s="66"/>
      <c r="B68" s="66"/>
      <c r="C68" s="66"/>
      <c r="D68" s="66"/>
      <c r="H68" s="66"/>
      <c r="I68" s="66"/>
      <c r="J68" s="66"/>
      <c r="K68" s="66"/>
      <c r="L68" s="66"/>
      <c r="O68" s="66"/>
    </row>
    <row r="69" spans="1:15" x14ac:dyDescent="0.3">
      <c r="A69" s="66"/>
      <c r="B69" s="66"/>
      <c r="C69" s="66"/>
      <c r="D69" s="66"/>
      <c r="H69" s="66"/>
      <c r="I69" s="66"/>
      <c r="J69" s="66"/>
      <c r="K69" s="66"/>
      <c r="L69" s="66"/>
      <c r="O69" s="66"/>
    </row>
    <row r="70" spans="1:15" x14ac:dyDescent="0.3">
      <c r="A70" s="66"/>
      <c r="B70" s="66"/>
      <c r="C70" s="66"/>
      <c r="D70" s="66"/>
      <c r="H70" s="66"/>
      <c r="I70" s="66"/>
      <c r="J70" s="66"/>
      <c r="K70" s="66"/>
      <c r="L70" s="66"/>
      <c r="O70" s="66"/>
    </row>
    <row r="71" spans="1:15" x14ac:dyDescent="0.3">
      <c r="A71" s="66"/>
      <c r="B71" s="66"/>
      <c r="C71" s="66"/>
      <c r="D71" s="66"/>
      <c r="H71" s="66"/>
      <c r="I71" s="66"/>
      <c r="J71" s="66"/>
      <c r="K71" s="66"/>
      <c r="L71" s="66"/>
      <c r="O71" s="66"/>
    </row>
    <row r="72" spans="1:15" x14ac:dyDescent="0.3">
      <c r="A72" s="66"/>
      <c r="B72" s="66"/>
      <c r="C72" s="66"/>
      <c r="D72" s="66"/>
      <c r="H72" s="66"/>
      <c r="I72" s="66"/>
      <c r="J72" s="66"/>
      <c r="K72" s="66"/>
      <c r="L72" s="66"/>
      <c r="O72" s="66"/>
    </row>
    <row r="73" spans="1:15" x14ac:dyDescent="0.3">
      <c r="A73" s="66"/>
      <c r="B73" s="66"/>
      <c r="C73" s="66"/>
      <c r="D73" s="66"/>
      <c r="H73" s="66"/>
      <c r="I73" s="66"/>
      <c r="J73" s="66"/>
      <c r="K73" s="66"/>
      <c r="L73" s="66"/>
      <c r="O73" s="66"/>
    </row>
    <row r="74" spans="1:15" x14ac:dyDescent="0.3">
      <c r="A74" s="66"/>
      <c r="B74" s="66"/>
      <c r="C74" s="66"/>
      <c r="D74" s="66"/>
      <c r="H74" s="66"/>
      <c r="I74" s="66"/>
      <c r="J74" s="66"/>
      <c r="K74" s="66"/>
      <c r="L74" s="66"/>
      <c r="O74" s="66"/>
    </row>
    <row r="75" spans="1:15" x14ac:dyDescent="0.3">
      <c r="A75" s="66"/>
      <c r="B75" s="66"/>
      <c r="C75" s="66"/>
      <c r="D75" s="66"/>
      <c r="H75" s="66"/>
      <c r="I75" s="66"/>
      <c r="J75" s="66"/>
      <c r="K75" s="66"/>
      <c r="L75" s="66"/>
      <c r="O75" s="66"/>
    </row>
    <row r="76" spans="1:15" x14ac:dyDescent="0.3">
      <c r="A76" s="66"/>
      <c r="B76" s="66"/>
      <c r="C76" s="66"/>
      <c r="D76" s="66"/>
      <c r="H76" s="66"/>
      <c r="I76" s="66"/>
      <c r="J76" s="66"/>
      <c r="K76" s="66"/>
      <c r="L76" s="66"/>
      <c r="O76" s="66"/>
    </row>
    <row r="77" spans="1:15" x14ac:dyDescent="0.3">
      <c r="A77" s="66"/>
      <c r="B77" s="66"/>
      <c r="C77" s="66"/>
      <c r="D77" s="66"/>
      <c r="H77" s="66"/>
      <c r="I77" s="66"/>
      <c r="J77" s="66"/>
      <c r="K77" s="66"/>
      <c r="L77" s="66"/>
      <c r="O77" s="66"/>
    </row>
    <row r="78" spans="1:15" x14ac:dyDescent="0.3">
      <c r="A78" s="66"/>
      <c r="B78" s="66"/>
      <c r="C78" s="66"/>
      <c r="D78" s="66"/>
      <c r="H78" s="66"/>
      <c r="I78" s="66"/>
      <c r="J78" s="66"/>
      <c r="K78" s="66"/>
      <c r="L78" s="66"/>
      <c r="O78" s="66"/>
    </row>
    <row r="79" spans="1:15" x14ac:dyDescent="0.3">
      <c r="A79" s="66"/>
      <c r="B79" s="66"/>
      <c r="C79" s="66"/>
      <c r="D79" s="66"/>
      <c r="H79" s="66"/>
      <c r="I79" s="66"/>
      <c r="J79" s="66"/>
      <c r="K79" s="66"/>
      <c r="L79" s="66"/>
      <c r="O79" s="66"/>
    </row>
    <row r="80" spans="1:15" x14ac:dyDescent="0.3">
      <c r="A80" s="66"/>
      <c r="B80" s="66"/>
      <c r="C80" s="66"/>
      <c r="D80" s="66"/>
      <c r="H80" s="66"/>
      <c r="I80" s="66"/>
      <c r="J80" s="66"/>
      <c r="K80" s="66"/>
      <c r="L80" s="66"/>
      <c r="O80" s="66"/>
    </row>
    <row r="81" spans="1:15" x14ac:dyDescent="0.3">
      <c r="A81" s="66"/>
      <c r="B81" s="66"/>
      <c r="C81" s="66"/>
      <c r="D81" s="66"/>
      <c r="H81" s="66"/>
      <c r="I81" s="66"/>
      <c r="J81" s="66"/>
      <c r="K81" s="66"/>
      <c r="L81" s="66"/>
      <c r="O81" s="66"/>
    </row>
    <row r="82" spans="1:15" x14ac:dyDescent="0.3">
      <c r="A82" s="66"/>
      <c r="B82" s="66"/>
      <c r="C82" s="66"/>
      <c r="D82" s="66"/>
      <c r="H82" s="66"/>
      <c r="I82" s="66"/>
      <c r="J82" s="66"/>
      <c r="K82" s="66"/>
      <c r="L82" s="66"/>
      <c r="O82" s="66"/>
    </row>
    <row r="83" spans="1:15" x14ac:dyDescent="0.3">
      <c r="A83" s="66"/>
      <c r="B83" s="66"/>
      <c r="C83" s="66"/>
      <c r="D83" s="66"/>
      <c r="H83" s="66"/>
      <c r="I83" s="66"/>
      <c r="J83" s="66"/>
      <c r="K83" s="66"/>
      <c r="L83" s="66"/>
      <c r="O83" s="66"/>
    </row>
    <row r="84" spans="1:15" x14ac:dyDescent="0.3">
      <c r="A84" s="66"/>
      <c r="B84" s="66"/>
      <c r="C84" s="66"/>
      <c r="D84" s="66"/>
      <c r="H84" s="66"/>
      <c r="I84" s="66"/>
      <c r="J84" s="66"/>
      <c r="K84" s="66"/>
      <c r="L84" s="66"/>
      <c r="O84" s="66"/>
    </row>
    <row r="85" spans="1:15" x14ac:dyDescent="0.3">
      <c r="A85" s="66"/>
      <c r="B85" s="66"/>
      <c r="C85" s="66"/>
      <c r="D85" s="66"/>
      <c r="H85" s="66"/>
      <c r="I85" s="66"/>
      <c r="J85" s="66"/>
      <c r="K85" s="66"/>
      <c r="L85" s="66"/>
      <c r="O85" s="66"/>
    </row>
    <row r="86" spans="1:15" x14ac:dyDescent="0.3">
      <c r="A86" s="66"/>
      <c r="B86" s="66"/>
      <c r="C86" s="66"/>
      <c r="D86" s="66"/>
      <c r="H86" s="66"/>
      <c r="I86" s="66"/>
      <c r="J86" s="66"/>
      <c r="K86" s="66"/>
      <c r="L86" s="66"/>
      <c r="O86" s="66"/>
    </row>
    <row r="87" spans="1:15" x14ac:dyDescent="0.3">
      <c r="A87" s="66"/>
      <c r="B87" s="66"/>
      <c r="C87" s="66"/>
      <c r="D87" s="66"/>
      <c r="H87" s="66"/>
      <c r="I87" s="66"/>
      <c r="J87" s="66"/>
      <c r="K87" s="66"/>
      <c r="L87" s="66"/>
      <c r="O87" s="66"/>
    </row>
    <row r="88" spans="1:15" x14ac:dyDescent="0.3">
      <c r="A88" s="66"/>
      <c r="B88" s="66"/>
      <c r="C88" s="66"/>
      <c r="D88" s="66"/>
      <c r="H88" s="66"/>
      <c r="I88" s="66"/>
      <c r="J88" s="66"/>
      <c r="K88" s="66"/>
      <c r="L88" s="66"/>
      <c r="O88" s="66"/>
    </row>
    <row r="89" spans="1:15" x14ac:dyDescent="0.3">
      <c r="A89" s="66"/>
      <c r="B89" s="66"/>
      <c r="C89" s="66"/>
      <c r="D89" s="66"/>
      <c r="H89" s="66"/>
      <c r="I89" s="66"/>
      <c r="J89" s="66"/>
      <c r="K89" s="66"/>
      <c r="L89" s="66"/>
      <c r="O89" s="66"/>
    </row>
    <row r="90" spans="1:15" x14ac:dyDescent="0.3">
      <c r="A90" s="66"/>
      <c r="B90" s="66"/>
      <c r="C90" s="66"/>
      <c r="D90" s="66"/>
      <c r="H90" s="66"/>
      <c r="I90" s="66"/>
      <c r="J90" s="66"/>
      <c r="K90" s="66"/>
      <c r="L90" s="66"/>
      <c r="O90" s="66"/>
    </row>
    <row r="91" spans="1:15" x14ac:dyDescent="0.3">
      <c r="A91" s="66"/>
      <c r="B91" s="66"/>
      <c r="C91" s="66"/>
      <c r="D91" s="66"/>
      <c r="H91" s="66"/>
      <c r="I91" s="66"/>
      <c r="J91" s="66"/>
      <c r="K91" s="66"/>
      <c r="L91" s="66"/>
      <c r="O91" s="66"/>
    </row>
    <row r="92" spans="1:15" x14ac:dyDescent="0.3">
      <c r="A92" s="66"/>
      <c r="B92" s="66"/>
      <c r="C92" s="66"/>
      <c r="D92" s="66"/>
      <c r="H92" s="66"/>
      <c r="I92" s="66"/>
      <c r="J92" s="66"/>
      <c r="K92" s="66"/>
      <c r="L92" s="66"/>
      <c r="O92" s="66"/>
    </row>
    <row r="93" spans="1:15" x14ac:dyDescent="0.3">
      <c r="A93" s="66"/>
      <c r="B93" s="66"/>
      <c r="C93" s="66"/>
      <c r="D93" s="66"/>
      <c r="H93" s="66"/>
      <c r="I93" s="66"/>
      <c r="J93" s="66"/>
      <c r="K93" s="66"/>
      <c r="L93" s="66"/>
      <c r="O93" s="66"/>
    </row>
    <row r="94" spans="1:15" x14ac:dyDescent="0.3">
      <c r="A94" s="66"/>
      <c r="B94" s="66"/>
      <c r="C94" s="66"/>
      <c r="D94" s="66"/>
      <c r="H94" s="66"/>
      <c r="I94" s="66"/>
      <c r="J94" s="66"/>
      <c r="K94" s="66"/>
      <c r="L94" s="66"/>
      <c r="O94" s="66"/>
    </row>
    <row r="95" spans="1:15" x14ac:dyDescent="0.3">
      <c r="A95" s="66"/>
      <c r="B95" s="66"/>
      <c r="C95" s="66"/>
      <c r="D95" s="66"/>
      <c r="H95" s="66"/>
      <c r="I95" s="66"/>
      <c r="J95" s="66"/>
      <c r="K95" s="66"/>
      <c r="L95" s="66"/>
      <c r="O95" s="66"/>
    </row>
    <row r="96" spans="1:15" x14ac:dyDescent="0.3">
      <c r="A96" s="66"/>
      <c r="B96" s="66"/>
      <c r="C96" s="66"/>
      <c r="D96" s="66"/>
      <c r="H96" s="66"/>
      <c r="I96" s="66"/>
      <c r="J96" s="66"/>
      <c r="K96" s="66"/>
      <c r="L96" s="66"/>
      <c r="O96" s="66"/>
    </row>
    <row r="97" spans="1:15" x14ac:dyDescent="0.3">
      <c r="A97" s="66"/>
      <c r="B97" s="66"/>
      <c r="C97" s="66"/>
      <c r="D97" s="66"/>
      <c r="H97" s="66"/>
      <c r="I97" s="66"/>
      <c r="J97" s="66"/>
      <c r="K97" s="66"/>
      <c r="L97" s="66"/>
      <c r="O97" s="66"/>
    </row>
    <row r="98" spans="1:15" x14ac:dyDescent="0.3">
      <c r="A98" s="66"/>
      <c r="B98" s="66"/>
      <c r="C98" s="66"/>
      <c r="D98" s="66"/>
      <c r="H98" s="66"/>
      <c r="I98" s="66"/>
      <c r="J98" s="66"/>
      <c r="K98" s="66"/>
      <c r="L98" s="66"/>
      <c r="O98" s="66"/>
    </row>
    <row r="99" spans="1:15" x14ac:dyDescent="0.3">
      <c r="A99" s="66"/>
      <c r="B99" s="66"/>
      <c r="C99" s="66"/>
      <c r="D99" s="66"/>
      <c r="H99" s="66"/>
      <c r="I99" s="66"/>
      <c r="J99" s="66"/>
      <c r="K99" s="66"/>
      <c r="L99" s="66"/>
      <c r="O99" s="66"/>
    </row>
    <row r="100" spans="1:15" x14ac:dyDescent="0.3">
      <c r="A100" s="66"/>
      <c r="B100" s="66"/>
      <c r="C100" s="66"/>
      <c r="D100" s="66"/>
      <c r="H100" s="66"/>
      <c r="I100" s="66"/>
      <c r="J100" s="66"/>
      <c r="K100" s="66"/>
      <c r="L100" s="66"/>
      <c r="O100" s="66"/>
    </row>
    <row r="101" spans="1:15" x14ac:dyDescent="0.3">
      <c r="A101" s="66"/>
      <c r="B101" s="66"/>
      <c r="C101" s="66"/>
      <c r="D101" s="66"/>
      <c r="H101" s="66"/>
      <c r="I101" s="66"/>
      <c r="J101" s="66"/>
      <c r="K101" s="66"/>
      <c r="L101" s="66"/>
      <c r="O101" s="66"/>
    </row>
    <row r="102" spans="1:15" x14ac:dyDescent="0.3">
      <c r="A102" s="66"/>
      <c r="B102" s="66"/>
      <c r="C102" s="66"/>
      <c r="D102" s="66"/>
      <c r="H102" s="66"/>
      <c r="I102" s="66"/>
      <c r="J102" s="66"/>
      <c r="K102" s="66"/>
      <c r="L102" s="66"/>
      <c r="O102" s="66"/>
    </row>
    <row r="103" spans="1:15" x14ac:dyDescent="0.3">
      <c r="A103" s="66"/>
      <c r="B103" s="66"/>
      <c r="C103" s="66"/>
      <c r="D103" s="66"/>
      <c r="H103" s="66"/>
      <c r="I103" s="66"/>
      <c r="J103" s="66"/>
      <c r="K103" s="66"/>
      <c r="L103" s="66"/>
      <c r="O103" s="66"/>
    </row>
    <row r="104" spans="1:15" x14ac:dyDescent="0.3">
      <c r="A104" s="66"/>
      <c r="B104" s="66"/>
      <c r="C104" s="66"/>
      <c r="D104" s="66"/>
      <c r="H104" s="66"/>
      <c r="I104" s="66"/>
      <c r="J104" s="66"/>
      <c r="K104" s="66"/>
      <c r="L104" s="66"/>
      <c r="O104" s="66"/>
    </row>
    <row r="105" spans="1:15" x14ac:dyDescent="0.3">
      <c r="A105" s="66"/>
      <c r="B105" s="66"/>
      <c r="C105" s="66"/>
      <c r="D105" s="66"/>
      <c r="H105" s="66"/>
      <c r="I105" s="66"/>
      <c r="J105" s="66"/>
      <c r="K105" s="66"/>
      <c r="L105" s="66"/>
      <c r="O105" s="66"/>
    </row>
    <row r="106" spans="1:15" x14ac:dyDescent="0.3">
      <c r="A106" s="66"/>
      <c r="B106" s="66"/>
      <c r="C106" s="66"/>
      <c r="D106" s="66"/>
      <c r="H106" s="66"/>
      <c r="I106" s="66"/>
      <c r="J106" s="66"/>
      <c r="K106" s="66"/>
      <c r="L106" s="66"/>
      <c r="O106" s="66"/>
    </row>
    <row r="107" spans="1:15" x14ac:dyDescent="0.3">
      <c r="A107" s="66"/>
      <c r="B107" s="66"/>
      <c r="C107" s="66"/>
      <c r="D107" s="66"/>
      <c r="H107" s="66"/>
      <c r="I107" s="66"/>
      <c r="J107" s="66"/>
      <c r="K107" s="66"/>
      <c r="L107" s="66"/>
      <c r="O107" s="66"/>
    </row>
    <row r="108" spans="1:15" x14ac:dyDescent="0.3">
      <c r="A108" s="66"/>
      <c r="B108" s="66"/>
      <c r="C108" s="66"/>
      <c r="D108" s="66"/>
      <c r="H108" s="66"/>
      <c r="I108" s="66"/>
      <c r="J108" s="66"/>
      <c r="K108" s="66"/>
      <c r="L108" s="66"/>
      <c r="O108" s="66"/>
    </row>
    <row r="109" spans="1:15" x14ac:dyDescent="0.3">
      <c r="A109" s="66"/>
      <c r="B109" s="66"/>
      <c r="C109" s="66"/>
      <c r="D109" s="66"/>
      <c r="H109" s="66"/>
      <c r="I109" s="66"/>
      <c r="J109" s="66"/>
      <c r="K109" s="66"/>
      <c r="L109" s="66"/>
      <c r="O109" s="66"/>
    </row>
    <row r="110" spans="1:15" x14ac:dyDescent="0.3">
      <c r="A110" s="66"/>
      <c r="B110" s="66"/>
      <c r="C110" s="66"/>
      <c r="D110" s="66"/>
      <c r="H110" s="66"/>
      <c r="I110" s="66"/>
      <c r="J110" s="66"/>
      <c r="K110" s="66"/>
      <c r="L110" s="66"/>
      <c r="O110" s="66"/>
    </row>
    <row r="111" spans="1:15" x14ac:dyDescent="0.3">
      <c r="A111" s="66"/>
      <c r="B111" s="66"/>
      <c r="C111" s="66"/>
      <c r="D111" s="66"/>
      <c r="H111" s="66"/>
      <c r="I111" s="66"/>
      <c r="J111" s="66"/>
      <c r="K111" s="66"/>
      <c r="L111" s="66"/>
      <c r="O111" s="66"/>
    </row>
    <row r="112" spans="1:15" x14ac:dyDescent="0.3">
      <c r="A112" s="66"/>
      <c r="B112" s="66"/>
      <c r="C112" s="66"/>
      <c r="D112" s="66"/>
      <c r="H112" s="66"/>
      <c r="I112" s="66"/>
      <c r="J112" s="66"/>
      <c r="K112" s="66"/>
      <c r="L112" s="66"/>
      <c r="O112" s="66"/>
    </row>
    <row r="113" spans="1:15" x14ac:dyDescent="0.3">
      <c r="A113" s="66"/>
      <c r="B113" s="66"/>
      <c r="C113" s="66"/>
      <c r="D113" s="66"/>
      <c r="H113" s="66"/>
      <c r="I113" s="66"/>
      <c r="J113" s="66"/>
      <c r="K113" s="66"/>
      <c r="L113" s="66"/>
      <c r="O113" s="66"/>
    </row>
    <row r="114" spans="1:15" x14ac:dyDescent="0.3">
      <c r="A114" s="66"/>
      <c r="B114" s="66"/>
      <c r="C114" s="66"/>
      <c r="D114" s="66"/>
      <c r="H114" s="66"/>
      <c r="I114" s="66"/>
      <c r="J114" s="66"/>
      <c r="K114" s="66"/>
      <c r="L114" s="66"/>
      <c r="O114" s="66"/>
    </row>
    <row r="115" spans="1:15" x14ac:dyDescent="0.3">
      <c r="A115" s="66"/>
      <c r="B115" s="66"/>
      <c r="C115" s="66"/>
      <c r="D115" s="66"/>
      <c r="H115" s="66"/>
      <c r="I115" s="66"/>
      <c r="J115" s="66"/>
      <c r="K115" s="66"/>
      <c r="L115" s="66"/>
      <c r="O115" s="66"/>
    </row>
    <row r="116" spans="1:15" x14ac:dyDescent="0.3">
      <c r="A116" s="66"/>
      <c r="B116" s="66"/>
      <c r="C116" s="66"/>
      <c r="D116" s="66"/>
      <c r="H116" s="66"/>
      <c r="I116" s="66"/>
      <c r="J116" s="66"/>
      <c r="K116" s="66"/>
      <c r="L116" s="66"/>
      <c r="O116" s="66"/>
    </row>
    <row r="117" spans="1:15" x14ac:dyDescent="0.3">
      <c r="A117" s="66"/>
      <c r="B117" s="66"/>
      <c r="C117" s="66"/>
      <c r="D117" s="66"/>
      <c r="H117" s="66"/>
      <c r="I117" s="66"/>
      <c r="J117" s="66"/>
      <c r="K117" s="66"/>
      <c r="L117" s="66"/>
      <c r="O117" s="66"/>
    </row>
    <row r="118" spans="1:15" x14ac:dyDescent="0.3">
      <c r="A118" s="66"/>
      <c r="B118" s="66"/>
      <c r="C118" s="66"/>
      <c r="D118" s="66"/>
      <c r="H118" s="66"/>
      <c r="I118" s="66"/>
      <c r="J118" s="66"/>
      <c r="K118" s="66"/>
      <c r="L118" s="66"/>
      <c r="O118" s="66"/>
    </row>
    <row r="119" spans="1:15" x14ac:dyDescent="0.3">
      <c r="A119" s="66"/>
      <c r="B119" s="66"/>
      <c r="C119" s="66"/>
      <c r="D119" s="66"/>
      <c r="H119" s="66"/>
      <c r="I119" s="66"/>
      <c r="J119" s="66"/>
      <c r="K119" s="66"/>
      <c r="L119" s="66"/>
      <c r="O119" s="66"/>
    </row>
    <row r="120" spans="1:15" x14ac:dyDescent="0.3">
      <c r="A120" s="66"/>
      <c r="B120" s="66"/>
      <c r="C120" s="66"/>
      <c r="D120" s="66"/>
      <c r="H120" s="66"/>
      <c r="I120" s="66"/>
      <c r="J120" s="66"/>
      <c r="K120" s="66"/>
      <c r="L120" s="66"/>
      <c r="O120" s="66"/>
    </row>
    <row r="121" spans="1:15" x14ac:dyDescent="0.3">
      <c r="A121" s="66"/>
      <c r="B121" s="66"/>
      <c r="C121" s="66"/>
      <c r="D121" s="66"/>
      <c r="H121" s="66"/>
      <c r="I121" s="66"/>
      <c r="J121" s="66"/>
      <c r="K121" s="66"/>
      <c r="L121" s="66"/>
      <c r="O121" s="66"/>
    </row>
    <row r="122" spans="1:15" x14ac:dyDescent="0.3">
      <c r="A122" s="66"/>
      <c r="B122" s="66"/>
      <c r="C122" s="66"/>
      <c r="D122" s="66"/>
      <c r="H122" s="66"/>
      <c r="I122" s="66"/>
      <c r="J122" s="66"/>
      <c r="K122" s="66"/>
      <c r="L122" s="66"/>
      <c r="O122" s="66"/>
    </row>
    <row r="123" spans="1:15" x14ac:dyDescent="0.3">
      <c r="A123" s="66"/>
      <c r="B123" s="66"/>
      <c r="C123" s="66"/>
      <c r="D123" s="66"/>
      <c r="H123" s="66"/>
      <c r="I123" s="66"/>
      <c r="J123" s="66"/>
      <c r="K123" s="66"/>
      <c r="L123" s="66"/>
      <c r="O123" s="66"/>
    </row>
    <row r="124" spans="1:15" x14ac:dyDescent="0.3">
      <c r="A124" s="66"/>
      <c r="B124" s="66"/>
      <c r="C124" s="66"/>
      <c r="D124" s="66"/>
      <c r="H124" s="66"/>
      <c r="I124" s="66"/>
      <c r="J124" s="66"/>
      <c r="K124" s="66"/>
      <c r="L124" s="66"/>
      <c r="O124" s="66"/>
    </row>
    <row r="125" spans="1:15" x14ac:dyDescent="0.3">
      <c r="A125" s="66"/>
      <c r="B125" s="66"/>
      <c r="C125" s="66"/>
      <c r="D125" s="66"/>
      <c r="H125" s="66"/>
      <c r="I125" s="66"/>
      <c r="J125" s="66"/>
      <c r="K125" s="66"/>
      <c r="L125" s="66"/>
      <c r="O125" s="66"/>
    </row>
    <row r="126" spans="1:15" x14ac:dyDescent="0.3">
      <c r="A126" s="66"/>
      <c r="B126" s="66"/>
      <c r="C126" s="66"/>
      <c r="D126" s="66"/>
      <c r="H126" s="66"/>
      <c r="I126" s="66"/>
      <c r="J126" s="66"/>
      <c r="K126" s="66"/>
      <c r="L126" s="66"/>
      <c r="O126" s="66"/>
    </row>
    <row r="127" spans="1:15" x14ac:dyDescent="0.3">
      <c r="A127" s="66"/>
      <c r="B127" s="66"/>
      <c r="C127" s="66"/>
      <c r="D127" s="66"/>
      <c r="H127" s="66"/>
      <c r="I127" s="66"/>
      <c r="J127" s="66"/>
      <c r="K127" s="66"/>
      <c r="L127" s="66"/>
      <c r="O127" s="66"/>
    </row>
    <row r="128" spans="1:15" x14ac:dyDescent="0.3">
      <c r="A128" s="66"/>
      <c r="B128" s="66"/>
      <c r="C128" s="66"/>
      <c r="D128" s="66"/>
      <c r="H128" s="66"/>
      <c r="I128" s="66"/>
      <c r="J128" s="66"/>
      <c r="K128" s="66"/>
      <c r="L128" s="66"/>
      <c r="O128" s="66"/>
    </row>
    <row r="129" spans="1:15" x14ac:dyDescent="0.3">
      <c r="A129" s="66"/>
      <c r="B129" s="66"/>
      <c r="C129" s="66"/>
      <c r="D129" s="66"/>
      <c r="H129" s="66"/>
      <c r="I129" s="66"/>
      <c r="J129" s="66"/>
      <c r="K129" s="66"/>
      <c r="L129" s="66"/>
      <c r="O129" s="66"/>
    </row>
    <row r="130" spans="1:15" x14ac:dyDescent="0.3">
      <c r="A130" s="66"/>
      <c r="B130" s="66"/>
      <c r="C130" s="66"/>
      <c r="D130" s="66"/>
      <c r="H130" s="66"/>
      <c r="I130" s="66"/>
      <c r="J130" s="66"/>
      <c r="K130" s="66"/>
      <c r="L130" s="66"/>
      <c r="O130" s="66"/>
    </row>
    <row r="131" spans="1:15" x14ac:dyDescent="0.3">
      <c r="A131" s="66"/>
      <c r="B131" s="66"/>
      <c r="C131" s="66"/>
      <c r="D131" s="66"/>
      <c r="H131" s="66"/>
      <c r="I131" s="66"/>
      <c r="J131" s="66"/>
      <c r="K131" s="66"/>
      <c r="L131" s="66"/>
      <c r="O131" s="66"/>
    </row>
    <row r="132" spans="1:15" x14ac:dyDescent="0.3">
      <c r="A132" s="66"/>
      <c r="B132" s="66"/>
      <c r="C132" s="66"/>
      <c r="D132" s="66"/>
      <c r="H132" s="66"/>
      <c r="I132" s="66"/>
      <c r="J132" s="66"/>
      <c r="K132" s="66"/>
      <c r="L132" s="66"/>
      <c r="O132" s="66"/>
    </row>
    <row r="133" spans="1:15" x14ac:dyDescent="0.3">
      <c r="A133" s="66"/>
      <c r="B133" s="66"/>
      <c r="C133" s="66"/>
      <c r="D133" s="66"/>
      <c r="H133" s="66"/>
      <c r="I133" s="66"/>
      <c r="J133" s="66"/>
      <c r="K133" s="66"/>
      <c r="L133" s="66"/>
      <c r="O133" s="66"/>
    </row>
    <row r="134" spans="1:15" x14ac:dyDescent="0.3">
      <c r="A134" s="66"/>
      <c r="B134" s="66"/>
      <c r="C134" s="66"/>
      <c r="D134" s="66"/>
      <c r="H134" s="66"/>
      <c r="I134" s="66"/>
      <c r="J134" s="66"/>
      <c r="K134" s="66"/>
      <c r="L134" s="66"/>
      <c r="O134" s="66"/>
    </row>
    <row r="135" spans="1:15" x14ac:dyDescent="0.3">
      <c r="A135" s="66"/>
      <c r="B135" s="66"/>
      <c r="C135" s="66"/>
      <c r="D135" s="66"/>
      <c r="H135" s="66"/>
      <c r="I135" s="66"/>
      <c r="J135" s="66"/>
      <c r="K135" s="66"/>
      <c r="L135" s="66"/>
      <c r="O135" s="66"/>
    </row>
    <row r="136" spans="1:15" x14ac:dyDescent="0.3">
      <c r="A136" s="66"/>
      <c r="B136" s="66"/>
      <c r="C136" s="66"/>
      <c r="D136" s="66"/>
      <c r="H136" s="66"/>
      <c r="I136" s="66"/>
      <c r="J136" s="66"/>
      <c r="K136" s="66"/>
      <c r="L136" s="66"/>
      <c r="O136" s="66"/>
    </row>
    <row r="137" spans="1:15" x14ac:dyDescent="0.3">
      <c r="A137" s="66"/>
      <c r="B137" s="66"/>
      <c r="C137" s="66"/>
      <c r="D137" s="66"/>
      <c r="H137" s="66"/>
      <c r="I137" s="66"/>
      <c r="J137" s="66"/>
      <c r="K137" s="66"/>
      <c r="L137" s="66"/>
      <c r="O137" s="66"/>
    </row>
    <row r="138" spans="1:15" x14ac:dyDescent="0.3">
      <c r="A138" s="66"/>
      <c r="B138" s="66"/>
      <c r="C138" s="66"/>
      <c r="D138" s="66"/>
      <c r="H138" s="66"/>
      <c r="I138" s="66"/>
      <c r="J138" s="66"/>
      <c r="K138" s="66"/>
      <c r="L138" s="66"/>
      <c r="O138" s="66"/>
    </row>
    <row r="139" spans="1:15" x14ac:dyDescent="0.3">
      <c r="A139" s="66"/>
      <c r="B139" s="66"/>
      <c r="C139" s="66"/>
      <c r="D139" s="66"/>
      <c r="H139" s="66"/>
      <c r="I139" s="66"/>
      <c r="J139" s="66"/>
      <c r="K139" s="66"/>
      <c r="L139" s="66"/>
      <c r="O139" s="66"/>
    </row>
    <row r="140" spans="1:15" x14ac:dyDescent="0.3">
      <c r="A140" s="66"/>
      <c r="B140" s="66"/>
      <c r="C140" s="66"/>
      <c r="D140" s="66"/>
      <c r="H140" s="66"/>
      <c r="I140" s="66"/>
      <c r="J140" s="66"/>
      <c r="K140" s="66"/>
      <c r="L140" s="66"/>
      <c r="O140" s="66"/>
    </row>
    <row r="141" spans="1:15" x14ac:dyDescent="0.3">
      <c r="A141" s="66"/>
      <c r="B141" s="66"/>
      <c r="C141" s="66"/>
      <c r="D141" s="66"/>
      <c r="H141" s="66"/>
      <c r="I141" s="66"/>
      <c r="J141" s="66"/>
      <c r="K141" s="66"/>
      <c r="L141" s="66"/>
      <c r="O141" s="66"/>
    </row>
    <row r="142" spans="1:15" x14ac:dyDescent="0.3">
      <c r="A142" s="66"/>
      <c r="B142" s="66"/>
      <c r="C142" s="66"/>
      <c r="D142" s="66"/>
      <c r="H142" s="66"/>
      <c r="I142" s="66"/>
      <c r="J142" s="66"/>
      <c r="K142" s="66"/>
      <c r="L142" s="66"/>
      <c r="O142" s="66"/>
    </row>
    <row r="143" spans="1:15" x14ac:dyDescent="0.3">
      <c r="A143" s="66"/>
      <c r="B143" s="66"/>
      <c r="C143" s="66"/>
      <c r="D143" s="66"/>
      <c r="H143" s="66"/>
      <c r="I143" s="66"/>
      <c r="J143" s="66"/>
      <c r="K143" s="66"/>
      <c r="L143" s="66"/>
      <c r="O143" s="66"/>
    </row>
    <row r="144" spans="1:15" x14ac:dyDescent="0.3">
      <c r="A144" s="66"/>
      <c r="B144" s="66"/>
      <c r="C144" s="66"/>
      <c r="D144" s="66"/>
      <c r="H144" s="66"/>
      <c r="I144" s="66"/>
      <c r="J144" s="66"/>
      <c r="K144" s="66"/>
      <c r="L144" s="66"/>
      <c r="O144" s="66"/>
    </row>
    <row r="145" spans="1:15" x14ac:dyDescent="0.3">
      <c r="A145" s="66"/>
      <c r="B145" s="66"/>
      <c r="C145" s="66"/>
      <c r="D145" s="66"/>
      <c r="H145" s="66"/>
      <c r="I145" s="66"/>
      <c r="J145" s="66"/>
      <c r="K145" s="66"/>
      <c r="L145" s="66"/>
      <c r="O145" s="66"/>
    </row>
    <row r="146" spans="1:15" x14ac:dyDescent="0.3">
      <c r="A146" s="66"/>
      <c r="B146" s="66"/>
      <c r="C146" s="66"/>
      <c r="D146" s="66"/>
      <c r="H146" s="66"/>
      <c r="I146" s="66"/>
      <c r="J146" s="66"/>
      <c r="K146" s="66"/>
      <c r="L146" s="66"/>
      <c r="O146" s="66"/>
    </row>
    <row r="147" spans="1:15" x14ac:dyDescent="0.3">
      <c r="A147" s="66"/>
      <c r="B147" s="66"/>
      <c r="C147" s="66"/>
      <c r="D147" s="66"/>
      <c r="H147" s="66"/>
      <c r="I147" s="66"/>
      <c r="J147" s="66"/>
      <c r="K147" s="66"/>
      <c r="L147" s="66"/>
      <c r="O147" s="66"/>
    </row>
    <row r="148" spans="1:15" x14ac:dyDescent="0.3">
      <c r="A148" s="66"/>
      <c r="B148" s="66"/>
      <c r="C148" s="66"/>
      <c r="D148" s="66"/>
      <c r="H148" s="66"/>
      <c r="I148" s="66"/>
      <c r="J148" s="66"/>
      <c r="K148" s="66"/>
      <c r="L148" s="66"/>
      <c r="O148" s="66"/>
    </row>
    <row r="149" spans="1:15" x14ac:dyDescent="0.3">
      <c r="A149" s="66"/>
      <c r="B149" s="66"/>
      <c r="C149" s="66"/>
      <c r="D149" s="66"/>
      <c r="H149" s="66"/>
      <c r="I149" s="66"/>
      <c r="J149" s="66"/>
      <c r="K149" s="66"/>
      <c r="L149" s="66"/>
      <c r="O149" s="66"/>
    </row>
    <row r="150" spans="1:15" x14ac:dyDescent="0.3">
      <c r="A150" s="66"/>
      <c r="B150" s="66"/>
      <c r="C150" s="66"/>
      <c r="D150" s="66"/>
      <c r="H150" s="66"/>
      <c r="I150" s="66"/>
      <c r="J150" s="66"/>
      <c r="K150" s="66"/>
      <c r="L150" s="66"/>
      <c r="O150" s="66"/>
    </row>
    <row r="151" spans="1:15" x14ac:dyDescent="0.3">
      <c r="A151" s="66"/>
      <c r="B151" s="66"/>
      <c r="C151" s="66"/>
      <c r="D151" s="66"/>
      <c r="H151" s="66"/>
      <c r="I151" s="66"/>
      <c r="J151" s="66"/>
      <c r="K151" s="66"/>
      <c r="L151" s="66"/>
      <c r="O151" s="66"/>
    </row>
    <row r="152" spans="1:15" x14ac:dyDescent="0.3">
      <c r="A152" s="66"/>
      <c r="B152" s="66"/>
      <c r="C152" s="66"/>
      <c r="D152" s="66"/>
      <c r="H152" s="66"/>
      <c r="I152" s="66"/>
      <c r="J152" s="66"/>
      <c r="K152" s="66"/>
      <c r="L152" s="66"/>
      <c r="O152" s="66"/>
    </row>
    <row r="153" spans="1:15" x14ac:dyDescent="0.3">
      <c r="A153" s="66"/>
      <c r="B153" s="66"/>
      <c r="C153" s="66"/>
      <c r="D153" s="66"/>
      <c r="H153" s="66"/>
      <c r="I153" s="66"/>
      <c r="J153" s="66"/>
      <c r="K153" s="66"/>
      <c r="L153" s="66"/>
      <c r="O153" s="66"/>
    </row>
    <row r="154" spans="1:15" x14ac:dyDescent="0.3">
      <c r="A154" s="66"/>
      <c r="B154" s="66"/>
      <c r="C154" s="66"/>
      <c r="D154" s="66"/>
      <c r="H154" s="66"/>
      <c r="I154" s="66"/>
      <c r="J154" s="66"/>
      <c r="K154" s="66"/>
      <c r="L154" s="66"/>
      <c r="O154" s="66"/>
    </row>
    <row r="155" spans="1:15" x14ac:dyDescent="0.3">
      <c r="A155" s="66"/>
      <c r="B155" s="66"/>
      <c r="C155" s="66"/>
      <c r="D155" s="66"/>
      <c r="H155" s="66"/>
      <c r="I155" s="66"/>
      <c r="J155" s="66"/>
      <c r="K155" s="66"/>
      <c r="L155" s="66"/>
      <c r="O155" s="66"/>
    </row>
    <row r="156" spans="1:15" x14ac:dyDescent="0.3">
      <c r="A156" s="66"/>
      <c r="B156" s="66"/>
      <c r="C156" s="66"/>
      <c r="D156" s="66"/>
      <c r="H156" s="66"/>
      <c r="I156" s="66"/>
      <c r="J156" s="66"/>
      <c r="K156" s="66"/>
      <c r="L156" s="66"/>
      <c r="O156" s="66"/>
    </row>
    <row r="157" spans="1:15" x14ac:dyDescent="0.3">
      <c r="A157" s="66"/>
      <c r="B157" s="66"/>
      <c r="C157" s="66"/>
      <c r="D157" s="66"/>
      <c r="H157" s="66"/>
      <c r="I157" s="66"/>
      <c r="J157" s="66"/>
      <c r="K157" s="66"/>
      <c r="L157" s="66"/>
      <c r="O157" s="66"/>
    </row>
    <row r="158" spans="1:15" x14ac:dyDescent="0.3">
      <c r="A158" s="66"/>
      <c r="B158" s="66"/>
      <c r="C158" s="66"/>
      <c r="D158" s="66"/>
      <c r="H158" s="66"/>
      <c r="I158" s="66"/>
      <c r="J158" s="66"/>
      <c r="K158" s="66"/>
      <c r="L158" s="66"/>
      <c r="O158" s="66"/>
    </row>
    <row r="159" spans="1:15" x14ac:dyDescent="0.3">
      <c r="A159" s="66"/>
      <c r="B159" s="66"/>
      <c r="C159" s="66"/>
      <c r="D159" s="66"/>
      <c r="H159" s="66"/>
      <c r="I159" s="66"/>
      <c r="J159" s="66"/>
      <c r="K159" s="66"/>
      <c r="L159" s="66"/>
      <c r="O159" s="66"/>
    </row>
    <row r="160" spans="1:15" x14ac:dyDescent="0.3">
      <c r="A160" s="66"/>
      <c r="B160" s="66"/>
      <c r="C160" s="66"/>
      <c r="D160" s="66"/>
      <c r="H160" s="66"/>
      <c r="I160" s="66"/>
      <c r="J160" s="66"/>
      <c r="K160" s="66"/>
      <c r="L160" s="66"/>
      <c r="O160" s="66"/>
    </row>
    <row r="161" spans="1:15" x14ac:dyDescent="0.3">
      <c r="A161" s="66"/>
      <c r="B161" s="66"/>
      <c r="C161" s="66"/>
      <c r="D161" s="66"/>
      <c r="H161" s="66"/>
      <c r="I161" s="66"/>
      <c r="J161" s="66"/>
      <c r="K161" s="66"/>
      <c r="L161" s="66"/>
      <c r="O161" s="66"/>
    </row>
    <row r="162" spans="1:15" x14ac:dyDescent="0.3">
      <c r="A162" s="66"/>
      <c r="B162" s="66"/>
      <c r="C162" s="66"/>
      <c r="D162" s="66"/>
      <c r="H162" s="66"/>
      <c r="I162" s="66"/>
      <c r="J162" s="66"/>
      <c r="K162" s="66"/>
      <c r="L162" s="66"/>
      <c r="O162" s="66"/>
    </row>
    <row r="163" spans="1:15" x14ac:dyDescent="0.3">
      <c r="A163" s="66"/>
      <c r="B163" s="66"/>
      <c r="C163" s="66"/>
      <c r="D163" s="66"/>
      <c r="H163" s="66"/>
      <c r="I163" s="66"/>
      <c r="J163" s="66"/>
      <c r="K163" s="66"/>
      <c r="L163" s="66"/>
      <c r="O163" s="66"/>
    </row>
    <row r="164" spans="1:15" x14ac:dyDescent="0.3">
      <c r="A164" s="66"/>
      <c r="B164" s="66"/>
      <c r="C164" s="66"/>
      <c r="D164" s="66"/>
      <c r="H164" s="66"/>
      <c r="I164" s="66"/>
      <c r="J164" s="66"/>
      <c r="K164" s="66"/>
      <c r="L164" s="66"/>
      <c r="O164" s="66"/>
    </row>
    <row r="165" spans="1:15" x14ac:dyDescent="0.3">
      <c r="A165" s="66"/>
      <c r="B165" s="66"/>
      <c r="C165" s="66"/>
      <c r="D165" s="66"/>
      <c r="H165" s="66"/>
      <c r="I165" s="66"/>
      <c r="J165" s="66"/>
      <c r="K165" s="66"/>
      <c r="L165" s="66"/>
      <c r="O165" s="66"/>
    </row>
    <row r="166" spans="1:15" x14ac:dyDescent="0.3">
      <c r="A166" s="66"/>
      <c r="B166" s="66"/>
      <c r="C166" s="66"/>
      <c r="D166" s="66"/>
      <c r="H166" s="66"/>
      <c r="I166" s="66"/>
      <c r="J166" s="66"/>
      <c r="K166" s="66"/>
      <c r="L166" s="66"/>
      <c r="O166" s="66"/>
    </row>
    <row r="167" spans="1:15" x14ac:dyDescent="0.3">
      <c r="A167" s="66"/>
      <c r="B167" s="66"/>
      <c r="C167" s="66"/>
      <c r="D167" s="66"/>
      <c r="H167" s="66"/>
      <c r="I167" s="66"/>
      <c r="J167" s="66"/>
      <c r="K167" s="66"/>
      <c r="L167" s="66"/>
      <c r="O167" s="66"/>
    </row>
    <row r="168" spans="1:15" x14ac:dyDescent="0.3">
      <c r="A168" s="66"/>
      <c r="B168" s="66"/>
      <c r="C168" s="66"/>
      <c r="D168" s="66"/>
      <c r="H168" s="66"/>
      <c r="I168" s="66"/>
      <c r="J168" s="66"/>
      <c r="K168" s="66"/>
      <c r="L168" s="66"/>
      <c r="O168" s="66"/>
    </row>
    <row r="169" spans="1:15" x14ac:dyDescent="0.3">
      <c r="A169" s="66"/>
      <c r="B169" s="66"/>
      <c r="C169" s="66"/>
      <c r="D169" s="66"/>
      <c r="H169" s="66"/>
      <c r="I169" s="66"/>
      <c r="J169" s="66"/>
      <c r="K169" s="66"/>
      <c r="L169" s="66"/>
      <c r="O169" s="66"/>
    </row>
    <row r="170" spans="1:15" x14ac:dyDescent="0.3">
      <c r="A170" s="66"/>
      <c r="B170" s="66"/>
      <c r="C170" s="66"/>
      <c r="D170" s="66"/>
      <c r="H170" s="66"/>
      <c r="I170" s="66"/>
      <c r="J170" s="66"/>
      <c r="K170" s="66"/>
      <c r="L170" s="66"/>
      <c r="O170" s="66"/>
    </row>
    <row r="171" spans="1:15" x14ac:dyDescent="0.3">
      <c r="A171" s="66"/>
      <c r="B171" s="66"/>
      <c r="C171" s="66"/>
      <c r="D171" s="66"/>
      <c r="H171" s="66"/>
      <c r="I171" s="66"/>
      <c r="J171" s="66"/>
      <c r="K171" s="66"/>
      <c r="L171" s="66"/>
      <c r="O171" s="66"/>
    </row>
    <row r="172" spans="1:15" x14ac:dyDescent="0.3">
      <c r="A172" s="66"/>
      <c r="B172" s="66"/>
      <c r="C172" s="66"/>
      <c r="D172" s="66"/>
      <c r="H172" s="66"/>
      <c r="I172" s="66"/>
      <c r="J172" s="66"/>
      <c r="K172" s="66"/>
      <c r="L172" s="66"/>
      <c r="O172" s="66"/>
    </row>
    <row r="173" spans="1:15" x14ac:dyDescent="0.3">
      <c r="A173" s="66"/>
      <c r="B173" s="66"/>
      <c r="C173" s="66"/>
      <c r="D173" s="66"/>
      <c r="H173" s="66"/>
      <c r="I173" s="66"/>
      <c r="J173" s="66"/>
      <c r="K173" s="66"/>
      <c r="L173" s="66"/>
      <c r="O173" s="66"/>
    </row>
    <row r="174" spans="1:15" x14ac:dyDescent="0.3">
      <c r="A174" s="66"/>
      <c r="B174" s="66"/>
      <c r="C174" s="66"/>
      <c r="D174" s="66"/>
      <c r="H174" s="66"/>
      <c r="I174" s="66"/>
      <c r="J174" s="66"/>
      <c r="K174" s="66"/>
      <c r="L174" s="66"/>
      <c r="O174" s="66"/>
    </row>
    <row r="175" spans="1:15" x14ac:dyDescent="0.3">
      <c r="A175" s="66"/>
      <c r="B175" s="66"/>
      <c r="C175" s="66"/>
      <c r="D175" s="66"/>
      <c r="H175" s="66"/>
      <c r="I175" s="66"/>
      <c r="J175" s="66"/>
      <c r="K175" s="66"/>
      <c r="L175" s="66"/>
      <c r="O175" s="66"/>
    </row>
    <row r="176" spans="1:15" x14ac:dyDescent="0.3">
      <c r="A176" s="66"/>
      <c r="B176" s="66"/>
      <c r="C176" s="66"/>
      <c r="D176" s="66"/>
      <c r="H176" s="66"/>
      <c r="I176" s="66"/>
      <c r="J176" s="66"/>
      <c r="K176" s="66"/>
      <c r="L176" s="66"/>
      <c r="O176" s="66"/>
    </row>
    <row r="177" spans="1:15" x14ac:dyDescent="0.3">
      <c r="A177" s="66"/>
      <c r="B177" s="66"/>
      <c r="C177" s="66"/>
      <c r="D177" s="66"/>
      <c r="H177" s="66"/>
      <c r="I177" s="66"/>
      <c r="J177" s="66"/>
      <c r="K177" s="66"/>
      <c r="L177" s="66"/>
      <c r="O177" s="66"/>
    </row>
    <row r="178" spans="1:15" x14ac:dyDescent="0.3">
      <c r="A178" s="66"/>
      <c r="B178" s="66"/>
      <c r="C178" s="66"/>
      <c r="D178" s="66"/>
      <c r="H178" s="66"/>
      <c r="I178" s="66"/>
      <c r="J178" s="66"/>
      <c r="K178" s="66"/>
      <c r="L178" s="66"/>
      <c r="O178" s="66"/>
    </row>
    <row r="179" spans="1:15" x14ac:dyDescent="0.3">
      <c r="A179" s="66"/>
      <c r="B179" s="66"/>
      <c r="C179" s="66"/>
      <c r="D179" s="66"/>
      <c r="H179" s="66"/>
      <c r="I179" s="66"/>
      <c r="J179" s="66"/>
      <c r="K179" s="66"/>
      <c r="L179" s="66"/>
      <c r="O179" s="66"/>
    </row>
    <row r="180" spans="1:15" x14ac:dyDescent="0.3">
      <c r="A180" s="66"/>
      <c r="B180" s="66"/>
      <c r="C180" s="66"/>
      <c r="D180" s="66"/>
      <c r="H180" s="66"/>
      <c r="I180" s="66"/>
      <c r="J180" s="66"/>
      <c r="K180" s="66"/>
      <c r="L180" s="66"/>
      <c r="O180" s="66"/>
    </row>
    <row r="181" spans="1:15" x14ac:dyDescent="0.3">
      <c r="A181" s="66"/>
      <c r="B181" s="66"/>
      <c r="C181" s="66"/>
      <c r="D181" s="66"/>
      <c r="H181" s="66"/>
      <c r="I181" s="66"/>
      <c r="J181" s="66"/>
      <c r="K181" s="66"/>
      <c r="L181" s="66"/>
      <c r="O181" s="66"/>
    </row>
    <row r="182" spans="1:15" x14ac:dyDescent="0.3">
      <c r="A182" s="66"/>
      <c r="B182" s="66"/>
      <c r="C182" s="66"/>
      <c r="D182" s="66"/>
      <c r="H182" s="66"/>
      <c r="I182" s="66"/>
      <c r="J182" s="66"/>
      <c r="K182" s="66"/>
      <c r="L182" s="66"/>
      <c r="O182" s="66"/>
    </row>
    <row r="183" spans="1:15" x14ac:dyDescent="0.3">
      <c r="A183" s="66"/>
      <c r="B183" s="66"/>
      <c r="C183" s="66"/>
      <c r="D183" s="66"/>
      <c r="H183" s="66"/>
      <c r="I183" s="66"/>
      <c r="J183" s="66"/>
      <c r="K183" s="66"/>
      <c r="L183" s="66"/>
      <c r="O183" s="66"/>
    </row>
    <row r="184" spans="1:15" x14ac:dyDescent="0.3">
      <c r="A184" s="66"/>
      <c r="B184" s="66"/>
      <c r="C184" s="66"/>
      <c r="D184" s="66"/>
      <c r="H184" s="66"/>
      <c r="I184" s="66"/>
      <c r="J184" s="66"/>
      <c r="K184" s="66"/>
      <c r="L184" s="66"/>
      <c r="O184" s="66"/>
    </row>
    <row r="185" spans="1:15" x14ac:dyDescent="0.3">
      <c r="A185" s="66"/>
      <c r="B185" s="66"/>
      <c r="C185" s="66"/>
      <c r="D185" s="66"/>
      <c r="H185" s="66"/>
      <c r="I185" s="66"/>
      <c r="J185" s="66"/>
      <c r="K185" s="66"/>
      <c r="L185" s="66"/>
      <c r="O185" s="66"/>
    </row>
    <row r="186" spans="1:15" x14ac:dyDescent="0.3">
      <c r="A186" s="66"/>
      <c r="B186" s="66"/>
      <c r="C186" s="66"/>
      <c r="D186" s="66"/>
      <c r="H186" s="66"/>
      <c r="I186" s="66"/>
      <c r="J186" s="66"/>
      <c r="K186" s="66"/>
      <c r="L186" s="66"/>
      <c r="O186" s="66"/>
    </row>
    <row r="187" spans="1:15" x14ac:dyDescent="0.3">
      <c r="A187" s="66"/>
      <c r="B187" s="66"/>
      <c r="C187" s="66"/>
      <c r="D187" s="66"/>
      <c r="H187" s="66"/>
      <c r="I187" s="66"/>
      <c r="J187" s="66"/>
      <c r="K187" s="66"/>
      <c r="L187" s="66"/>
      <c r="O187" s="66"/>
    </row>
    <row r="188" spans="1:15" x14ac:dyDescent="0.3">
      <c r="A188" s="66"/>
      <c r="B188" s="66"/>
      <c r="C188" s="66"/>
      <c r="D188" s="66"/>
      <c r="H188" s="66"/>
      <c r="I188" s="66"/>
      <c r="J188" s="66"/>
      <c r="K188" s="66"/>
      <c r="L188" s="66"/>
      <c r="O188" s="66"/>
    </row>
    <row r="189" spans="1:15" x14ac:dyDescent="0.3">
      <c r="A189" s="66"/>
      <c r="B189" s="66"/>
      <c r="C189" s="66"/>
      <c r="D189" s="66"/>
      <c r="H189" s="66"/>
      <c r="I189" s="66"/>
      <c r="J189" s="66"/>
      <c r="K189" s="66"/>
      <c r="L189" s="66"/>
      <c r="O189" s="66"/>
    </row>
    <row r="190" spans="1:15" x14ac:dyDescent="0.3">
      <c r="A190" s="66"/>
      <c r="B190" s="66"/>
      <c r="C190" s="66"/>
      <c r="D190" s="66"/>
      <c r="H190" s="66"/>
      <c r="I190" s="66"/>
      <c r="J190" s="66"/>
      <c r="K190" s="66"/>
      <c r="L190" s="66"/>
      <c r="O190" s="66"/>
    </row>
    <row r="191" spans="1:15" x14ac:dyDescent="0.3">
      <c r="A191" s="66"/>
      <c r="B191" s="66"/>
      <c r="C191" s="66"/>
      <c r="D191" s="66"/>
      <c r="H191" s="66"/>
      <c r="I191" s="66"/>
      <c r="J191" s="66"/>
      <c r="K191" s="66"/>
      <c r="L191" s="66"/>
      <c r="O191" s="66"/>
    </row>
    <row r="192" spans="1:15" x14ac:dyDescent="0.3">
      <c r="A192" s="66"/>
      <c r="B192" s="66"/>
      <c r="C192" s="66"/>
      <c r="D192" s="66"/>
      <c r="H192" s="66"/>
      <c r="I192" s="66"/>
      <c r="J192" s="66"/>
      <c r="K192" s="66"/>
      <c r="L192" s="66"/>
      <c r="O192" s="66"/>
    </row>
    <row r="193" spans="1:15" x14ac:dyDescent="0.3">
      <c r="A193" s="66"/>
      <c r="B193" s="66"/>
      <c r="C193" s="66"/>
      <c r="D193" s="66"/>
      <c r="H193" s="66"/>
      <c r="I193" s="66"/>
      <c r="J193" s="66"/>
      <c r="K193" s="66"/>
      <c r="L193" s="66"/>
      <c r="O193" s="66"/>
    </row>
    <row r="194" spans="1:15" x14ac:dyDescent="0.3">
      <c r="A194" s="66"/>
      <c r="B194" s="66"/>
      <c r="C194" s="66"/>
      <c r="D194" s="66"/>
      <c r="H194" s="66"/>
      <c r="I194" s="66"/>
      <c r="J194" s="66"/>
      <c r="K194" s="66"/>
      <c r="L194" s="66"/>
      <c r="O194" s="66"/>
    </row>
    <row r="195" spans="1:15" x14ac:dyDescent="0.3">
      <c r="A195" s="66"/>
      <c r="B195" s="66"/>
      <c r="C195" s="66"/>
      <c r="D195" s="66"/>
      <c r="H195" s="66"/>
      <c r="I195" s="66"/>
      <c r="J195" s="66"/>
      <c r="K195" s="66"/>
      <c r="L195" s="66"/>
      <c r="O195" s="66"/>
    </row>
    <row r="196" spans="1:15" x14ac:dyDescent="0.3">
      <c r="A196" s="66"/>
      <c r="B196" s="66"/>
      <c r="C196" s="66"/>
      <c r="D196" s="66"/>
      <c r="H196" s="66"/>
      <c r="I196" s="66"/>
      <c r="J196" s="66"/>
      <c r="K196" s="66"/>
      <c r="L196" s="66"/>
      <c r="O196" s="66"/>
    </row>
    <row r="197" spans="1:15" x14ac:dyDescent="0.3">
      <c r="A197" s="66"/>
      <c r="B197" s="66"/>
      <c r="C197" s="66"/>
      <c r="D197" s="66"/>
      <c r="H197" s="66"/>
      <c r="I197" s="66"/>
      <c r="J197" s="66"/>
      <c r="K197" s="66"/>
      <c r="L197" s="66"/>
      <c r="O197" s="66"/>
    </row>
    <row r="198" spans="1:15" x14ac:dyDescent="0.3">
      <c r="A198" s="66"/>
      <c r="B198" s="66"/>
      <c r="C198" s="66"/>
      <c r="D198" s="66"/>
      <c r="H198" s="66"/>
      <c r="I198" s="66"/>
      <c r="J198" s="66"/>
      <c r="K198" s="66"/>
      <c r="L198" s="66"/>
      <c r="O198" s="66"/>
    </row>
    <row r="199" spans="1:15" x14ac:dyDescent="0.3">
      <c r="A199" s="66"/>
      <c r="B199" s="66"/>
      <c r="C199" s="66"/>
      <c r="D199" s="66"/>
      <c r="H199" s="66"/>
      <c r="I199" s="66"/>
      <c r="J199" s="66"/>
      <c r="K199" s="66"/>
      <c r="L199" s="66"/>
      <c r="O199" s="66"/>
    </row>
    <row r="200" spans="1:15" x14ac:dyDescent="0.3">
      <c r="A200" s="66"/>
      <c r="B200" s="66"/>
      <c r="C200" s="66"/>
      <c r="D200" s="66"/>
      <c r="H200" s="66"/>
      <c r="I200" s="66"/>
      <c r="J200" s="66"/>
      <c r="K200" s="66"/>
      <c r="L200" s="66"/>
      <c r="O200" s="66"/>
    </row>
    <row r="201" spans="1:15" x14ac:dyDescent="0.3">
      <c r="A201" s="66"/>
      <c r="B201" s="66"/>
      <c r="C201" s="66"/>
      <c r="D201" s="66"/>
      <c r="H201" s="66"/>
      <c r="I201" s="66"/>
      <c r="J201" s="66"/>
      <c r="K201" s="66"/>
      <c r="L201" s="66"/>
      <c r="O201" s="66"/>
    </row>
    <row r="202" spans="1:15" x14ac:dyDescent="0.3">
      <c r="A202" s="66"/>
      <c r="B202" s="66"/>
      <c r="C202" s="66"/>
      <c r="D202" s="66"/>
      <c r="H202" s="66"/>
      <c r="I202" s="66"/>
      <c r="J202" s="66"/>
      <c r="K202" s="66"/>
      <c r="L202" s="66"/>
      <c r="O202" s="66"/>
    </row>
    <row r="203" spans="1:15" x14ac:dyDescent="0.3">
      <c r="A203" s="66"/>
      <c r="B203" s="66"/>
      <c r="C203" s="66"/>
      <c r="D203" s="66"/>
      <c r="H203" s="66"/>
      <c r="I203" s="66"/>
      <c r="J203" s="66"/>
      <c r="K203" s="66"/>
      <c r="L203" s="66"/>
      <c r="O203" s="66"/>
    </row>
    <row r="204" spans="1:15" x14ac:dyDescent="0.3">
      <c r="A204" s="66"/>
      <c r="B204" s="66"/>
      <c r="C204" s="66"/>
      <c r="D204" s="66"/>
      <c r="H204" s="66"/>
      <c r="I204" s="66"/>
      <c r="J204" s="66"/>
      <c r="K204" s="66"/>
      <c r="L204" s="66"/>
      <c r="O204" s="66"/>
    </row>
    <row r="205" spans="1:15" x14ac:dyDescent="0.3">
      <c r="A205" s="66"/>
      <c r="B205" s="66"/>
      <c r="C205" s="66"/>
      <c r="D205" s="66"/>
      <c r="H205" s="66"/>
      <c r="I205" s="66"/>
      <c r="J205" s="66"/>
      <c r="K205" s="66"/>
      <c r="L205" s="66"/>
      <c r="O205" s="66"/>
    </row>
    <row r="206" spans="1:15" x14ac:dyDescent="0.3">
      <c r="A206" s="66"/>
      <c r="B206" s="66"/>
      <c r="C206" s="66"/>
      <c r="D206" s="66"/>
      <c r="H206" s="66"/>
      <c r="I206" s="66"/>
      <c r="J206" s="66"/>
      <c r="K206" s="66"/>
      <c r="L206" s="66"/>
      <c r="O206" s="66"/>
    </row>
    <row r="207" spans="1:15" x14ac:dyDescent="0.3">
      <c r="A207" s="66"/>
      <c r="B207" s="66"/>
      <c r="C207" s="66"/>
      <c r="D207" s="66"/>
      <c r="H207" s="66"/>
      <c r="I207" s="66"/>
      <c r="J207" s="66"/>
      <c r="K207" s="66"/>
      <c r="L207" s="66"/>
      <c r="O207" s="66"/>
    </row>
    <row r="208" spans="1:15" x14ac:dyDescent="0.3">
      <c r="A208" s="66"/>
      <c r="B208" s="66"/>
      <c r="C208" s="66"/>
      <c r="D208" s="66"/>
      <c r="H208" s="66"/>
      <c r="I208" s="66"/>
      <c r="J208" s="66"/>
      <c r="K208" s="66"/>
      <c r="L208" s="66"/>
      <c r="O208" s="66"/>
    </row>
    <row r="209" spans="1:15" x14ac:dyDescent="0.3">
      <c r="A209" s="66"/>
      <c r="B209" s="66"/>
      <c r="C209" s="66"/>
      <c r="D209" s="66"/>
      <c r="H209" s="66"/>
      <c r="I209" s="66"/>
      <c r="J209" s="66"/>
      <c r="K209" s="66"/>
      <c r="L209" s="66"/>
      <c r="O209" s="66"/>
    </row>
    <row r="210" spans="1:15" x14ac:dyDescent="0.3">
      <c r="A210" s="66"/>
      <c r="B210" s="66"/>
      <c r="C210" s="66"/>
      <c r="D210" s="66"/>
      <c r="H210" s="66"/>
      <c r="I210" s="66"/>
      <c r="J210" s="66"/>
      <c r="K210" s="66"/>
      <c r="L210" s="66"/>
      <c r="O210" s="66"/>
    </row>
    <row r="211" spans="1:15" x14ac:dyDescent="0.3">
      <c r="A211" s="66"/>
      <c r="B211" s="66"/>
      <c r="C211" s="66"/>
      <c r="D211" s="66"/>
      <c r="H211" s="66"/>
      <c r="I211" s="66"/>
      <c r="J211" s="66"/>
      <c r="K211" s="66"/>
      <c r="L211" s="66"/>
      <c r="O211" s="66"/>
    </row>
    <row r="212" spans="1:15" x14ac:dyDescent="0.3">
      <c r="A212" s="66"/>
      <c r="B212" s="66"/>
      <c r="C212" s="66"/>
      <c r="D212" s="66"/>
      <c r="H212" s="66"/>
      <c r="I212" s="66"/>
      <c r="J212" s="66"/>
      <c r="K212" s="66"/>
      <c r="L212" s="66"/>
      <c r="O212" s="66"/>
    </row>
    <row r="213" spans="1:15" x14ac:dyDescent="0.3">
      <c r="A213" s="66"/>
      <c r="B213" s="66"/>
      <c r="C213" s="66"/>
      <c r="D213" s="66"/>
      <c r="H213" s="66"/>
      <c r="I213" s="66"/>
      <c r="J213" s="66"/>
      <c r="K213" s="66"/>
      <c r="L213" s="66"/>
      <c r="O213" s="66"/>
    </row>
    <row r="214" spans="1:15" x14ac:dyDescent="0.3">
      <c r="A214" s="66"/>
      <c r="B214" s="66"/>
      <c r="C214" s="66"/>
      <c r="D214" s="66"/>
      <c r="H214" s="66"/>
      <c r="I214" s="66"/>
      <c r="J214" s="66"/>
      <c r="K214" s="66"/>
      <c r="L214" s="66"/>
      <c r="O214" s="66"/>
    </row>
    <row r="215" spans="1:15" x14ac:dyDescent="0.3">
      <c r="A215" s="66"/>
      <c r="B215" s="66"/>
      <c r="C215" s="66"/>
      <c r="D215" s="66"/>
      <c r="H215" s="66"/>
      <c r="I215" s="66"/>
      <c r="J215" s="66"/>
      <c r="K215" s="66"/>
      <c r="L215" s="66"/>
      <c r="O215" s="66"/>
    </row>
    <row r="216" spans="1:15" x14ac:dyDescent="0.3">
      <c r="A216" s="66"/>
      <c r="B216" s="66"/>
      <c r="C216" s="66"/>
      <c r="D216" s="66"/>
      <c r="H216" s="66"/>
      <c r="I216" s="66"/>
      <c r="J216" s="66"/>
      <c r="K216" s="66"/>
      <c r="L216" s="66"/>
      <c r="O216" s="66"/>
    </row>
    <row r="217" spans="1:15" x14ac:dyDescent="0.3">
      <c r="A217" s="66"/>
      <c r="B217" s="66"/>
      <c r="C217" s="66"/>
      <c r="D217" s="66"/>
      <c r="H217" s="66"/>
      <c r="I217" s="66"/>
      <c r="J217" s="66"/>
      <c r="K217" s="66"/>
      <c r="L217" s="66"/>
      <c r="O217" s="66"/>
    </row>
    <row r="218" spans="1:15" x14ac:dyDescent="0.3">
      <c r="A218" s="66"/>
      <c r="B218" s="66"/>
      <c r="C218" s="66"/>
      <c r="D218" s="66"/>
      <c r="H218" s="66"/>
      <c r="I218" s="66"/>
      <c r="J218" s="66"/>
      <c r="K218" s="66"/>
      <c r="L218" s="66"/>
      <c r="O218" s="66"/>
    </row>
    <row r="219" spans="1:15" x14ac:dyDescent="0.3">
      <c r="A219" s="66"/>
      <c r="B219" s="66"/>
      <c r="C219" s="66"/>
      <c r="D219" s="66"/>
      <c r="H219" s="66"/>
      <c r="I219" s="66"/>
      <c r="J219" s="66"/>
      <c r="K219" s="66"/>
      <c r="L219" s="66"/>
      <c r="O219" s="66"/>
    </row>
    <row r="220" spans="1:15" x14ac:dyDescent="0.3">
      <c r="A220" s="66"/>
      <c r="B220" s="66"/>
      <c r="C220" s="66"/>
      <c r="D220" s="66"/>
      <c r="H220" s="66"/>
      <c r="I220" s="66"/>
      <c r="J220" s="66"/>
      <c r="K220" s="66"/>
      <c r="L220" s="66"/>
      <c r="O220" s="66"/>
    </row>
    <row r="221" spans="1:15" x14ac:dyDescent="0.3">
      <c r="A221" s="66"/>
      <c r="B221" s="66"/>
      <c r="C221" s="66"/>
      <c r="D221" s="66"/>
      <c r="H221" s="66"/>
      <c r="I221" s="66"/>
      <c r="J221" s="66"/>
      <c r="K221" s="66"/>
      <c r="L221" s="66"/>
      <c r="O221" s="66"/>
    </row>
    <row r="222" spans="1:15" x14ac:dyDescent="0.3">
      <c r="A222" s="66"/>
      <c r="B222" s="66"/>
      <c r="C222" s="66"/>
      <c r="D222" s="66"/>
      <c r="H222" s="66"/>
      <c r="I222" s="66"/>
      <c r="J222" s="66"/>
      <c r="K222" s="66"/>
      <c r="L222" s="66"/>
      <c r="O222" s="66"/>
    </row>
    <row r="223" spans="1:15" x14ac:dyDescent="0.3">
      <c r="A223" s="66"/>
      <c r="B223" s="66"/>
      <c r="C223" s="66"/>
      <c r="D223" s="66"/>
      <c r="H223" s="66"/>
      <c r="I223" s="66"/>
      <c r="J223" s="66"/>
      <c r="K223" s="66"/>
      <c r="L223" s="66"/>
      <c r="O223" s="66"/>
    </row>
    <row r="224" spans="1:15" x14ac:dyDescent="0.3">
      <c r="A224" s="66"/>
      <c r="B224" s="66"/>
      <c r="C224" s="66"/>
      <c r="D224" s="66"/>
      <c r="H224" s="66"/>
      <c r="I224" s="66"/>
      <c r="J224" s="66"/>
      <c r="K224" s="66"/>
      <c r="L224" s="66"/>
      <c r="O224" s="66"/>
    </row>
    <row r="225" spans="1:15" x14ac:dyDescent="0.3">
      <c r="A225" s="66"/>
      <c r="B225" s="66"/>
      <c r="C225" s="66"/>
      <c r="D225" s="66"/>
      <c r="H225" s="66"/>
      <c r="I225" s="66"/>
      <c r="J225" s="66"/>
      <c r="K225" s="66"/>
      <c r="L225" s="66"/>
      <c r="O225" s="66"/>
    </row>
    <row r="226" spans="1:15" x14ac:dyDescent="0.3">
      <c r="A226" s="66"/>
      <c r="B226" s="66"/>
      <c r="C226" s="66"/>
      <c r="D226" s="66"/>
      <c r="H226" s="66"/>
      <c r="I226" s="66"/>
      <c r="J226" s="66"/>
      <c r="K226" s="66"/>
      <c r="L226" s="66"/>
      <c r="O226" s="66"/>
    </row>
    <row r="227" spans="1:15" x14ac:dyDescent="0.3">
      <c r="A227" s="66"/>
      <c r="B227" s="66"/>
      <c r="C227" s="66"/>
      <c r="D227" s="66"/>
      <c r="H227" s="66"/>
      <c r="I227" s="66"/>
      <c r="J227" s="66"/>
      <c r="K227" s="66"/>
      <c r="L227" s="66"/>
      <c r="O227" s="66"/>
    </row>
    <row r="228" spans="1:15" x14ac:dyDescent="0.3">
      <c r="A228" s="66"/>
      <c r="B228" s="66"/>
      <c r="C228" s="66"/>
      <c r="D228" s="66"/>
      <c r="H228" s="66"/>
      <c r="I228" s="66"/>
      <c r="J228" s="66"/>
      <c r="K228" s="66"/>
      <c r="L228" s="66"/>
      <c r="O228" s="66"/>
    </row>
    <row r="229" spans="1:15" x14ac:dyDescent="0.3">
      <c r="A229" s="66"/>
      <c r="B229" s="66"/>
      <c r="C229" s="66"/>
      <c r="D229" s="66"/>
      <c r="H229" s="66"/>
      <c r="I229" s="66"/>
      <c r="J229" s="66"/>
      <c r="K229" s="66"/>
      <c r="L229" s="66"/>
      <c r="O229" s="66"/>
    </row>
    <row r="230" spans="1:15" x14ac:dyDescent="0.3">
      <c r="A230" s="66"/>
      <c r="B230" s="66"/>
      <c r="C230" s="66"/>
      <c r="D230" s="66"/>
      <c r="H230" s="66"/>
      <c r="I230" s="66"/>
      <c r="J230" s="66"/>
      <c r="K230" s="66"/>
      <c r="L230" s="66"/>
      <c r="O230" s="66"/>
    </row>
    <row r="231" spans="1:15" x14ac:dyDescent="0.3">
      <c r="A231" s="66"/>
      <c r="B231" s="66"/>
      <c r="C231" s="66"/>
      <c r="D231" s="66"/>
      <c r="H231" s="66"/>
      <c r="I231" s="66"/>
      <c r="J231" s="66"/>
      <c r="K231" s="66"/>
      <c r="L231" s="66"/>
      <c r="O231" s="66"/>
    </row>
    <row r="232" spans="1:15" x14ac:dyDescent="0.3">
      <c r="A232" s="66"/>
      <c r="B232" s="66"/>
      <c r="C232" s="66"/>
      <c r="D232" s="66"/>
      <c r="H232" s="66"/>
      <c r="I232" s="66"/>
      <c r="J232" s="66"/>
      <c r="K232" s="66"/>
      <c r="L232" s="66"/>
      <c r="O232" s="66"/>
    </row>
    <row r="233" spans="1:15" x14ac:dyDescent="0.3">
      <c r="A233" s="66"/>
      <c r="B233" s="66"/>
      <c r="C233" s="66"/>
      <c r="D233" s="66"/>
      <c r="H233" s="66"/>
      <c r="I233" s="66"/>
      <c r="J233" s="66"/>
      <c r="K233" s="66"/>
      <c r="L233" s="66"/>
      <c r="O233" s="66"/>
    </row>
    <row r="234" spans="1:15" x14ac:dyDescent="0.3">
      <c r="A234" s="66"/>
      <c r="B234" s="66"/>
      <c r="C234" s="66"/>
      <c r="D234" s="66"/>
      <c r="H234" s="66"/>
      <c r="I234" s="66"/>
      <c r="J234" s="66"/>
      <c r="K234" s="66"/>
      <c r="L234" s="66"/>
      <c r="O234" s="66"/>
    </row>
    <row r="235" spans="1:15" x14ac:dyDescent="0.3">
      <c r="A235" s="66"/>
      <c r="B235" s="66"/>
      <c r="C235" s="66"/>
      <c r="D235" s="66"/>
      <c r="H235" s="66"/>
      <c r="I235" s="66"/>
      <c r="J235" s="66"/>
      <c r="K235" s="66"/>
      <c r="L235" s="66"/>
      <c r="O235" s="66"/>
    </row>
    <row r="236" spans="1:15" x14ac:dyDescent="0.3">
      <c r="A236" s="66"/>
      <c r="B236" s="66"/>
      <c r="C236" s="66"/>
      <c r="D236" s="66"/>
      <c r="H236" s="66"/>
      <c r="I236" s="66"/>
      <c r="J236" s="66"/>
      <c r="K236" s="66"/>
      <c r="L236" s="66"/>
      <c r="O236" s="66"/>
    </row>
    <row r="237" spans="1:15" x14ac:dyDescent="0.3">
      <c r="A237" s="66"/>
      <c r="B237" s="66"/>
      <c r="C237" s="66"/>
      <c r="D237" s="66"/>
      <c r="H237" s="66"/>
      <c r="I237" s="66"/>
      <c r="J237" s="66"/>
      <c r="K237" s="66"/>
      <c r="L237" s="66"/>
      <c r="O237" s="66"/>
    </row>
    <row r="238" spans="1:15" x14ac:dyDescent="0.3">
      <c r="A238" s="66"/>
      <c r="B238" s="66"/>
      <c r="C238" s="66"/>
      <c r="D238" s="66"/>
      <c r="H238" s="66"/>
      <c r="I238" s="66"/>
      <c r="J238" s="66"/>
      <c r="K238" s="66"/>
      <c r="L238" s="66"/>
      <c r="O238" s="66"/>
    </row>
    <row r="239" spans="1:15" x14ac:dyDescent="0.3">
      <c r="A239" s="66"/>
      <c r="B239" s="66"/>
      <c r="C239" s="66"/>
      <c r="D239" s="66"/>
      <c r="H239" s="66"/>
      <c r="I239" s="66"/>
      <c r="J239" s="66"/>
      <c r="K239" s="66"/>
      <c r="L239" s="66"/>
      <c r="O239" s="66"/>
    </row>
    <row r="240" spans="1:15" x14ac:dyDescent="0.3">
      <c r="A240" s="66"/>
      <c r="B240" s="66"/>
      <c r="C240" s="66"/>
      <c r="D240" s="66"/>
      <c r="H240" s="66"/>
      <c r="I240" s="66"/>
      <c r="J240" s="66"/>
      <c r="K240" s="66"/>
      <c r="L240" s="66"/>
      <c r="O240" s="66"/>
    </row>
    <row r="241" spans="1:15" x14ac:dyDescent="0.3">
      <c r="A241" s="66"/>
      <c r="B241" s="66"/>
      <c r="C241" s="66"/>
      <c r="D241" s="66"/>
      <c r="H241" s="66"/>
      <c r="I241" s="66"/>
      <c r="J241" s="66"/>
      <c r="K241" s="66"/>
      <c r="L241" s="66"/>
      <c r="O241" s="66"/>
    </row>
    <row r="242" spans="1:15" x14ac:dyDescent="0.3">
      <c r="A242" s="66"/>
      <c r="B242" s="66"/>
      <c r="C242" s="66"/>
      <c r="D242" s="66"/>
      <c r="H242" s="66"/>
      <c r="I242" s="66"/>
      <c r="J242" s="66"/>
      <c r="K242" s="66"/>
      <c r="L242" s="66"/>
      <c r="O242" s="66"/>
    </row>
    <row r="243" spans="1:15" x14ac:dyDescent="0.3">
      <c r="A243" s="66"/>
      <c r="B243" s="66"/>
      <c r="C243" s="66"/>
      <c r="D243" s="66"/>
      <c r="H243" s="66"/>
      <c r="I243" s="66"/>
      <c r="J243" s="66"/>
      <c r="K243" s="66"/>
      <c r="L243" s="66"/>
      <c r="O243" s="66"/>
    </row>
    <row r="244" spans="1:15" x14ac:dyDescent="0.3">
      <c r="A244" s="66"/>
      <c r="B244" s="66"/>
      <c r="C244" s="66"/>
      <c r="D244" s="66"/>
      <c r="H244" s="66"/>
      <c r="I244" s="66"/>
      <c r="J244" s="66"/>
      <c r="K244" s="66"/>
      <c r="L244" s="66"/>
      <c r="O244" s="66"/>
    </row>
    <row r="245" spans="1:15" x14ac:dyDescent="0.3">
      <c r="A245" s="66"/>
      <c r="B245" s="66"/>
      <c r="C245" s="66"/>
      <c r="D245" s="66"/>
      <c r="H245" s="66"/>
      <c r="I245" s="66"/>
      <c r="J245" s="66"/>
      <c r="K245" s="66"/>
      <c r="L245" s="66"/>
      <c r="O245" s="66"/>
    </row>
    <row r="246" spans="1:15" x14ac:dyDescent="0.3">
      <c r="A246" s="66"/>
      <c r="B246" s="66"/>
      <c r="C246" s="66"/>
      <c r="D246" s="66"/>
      <c r="H246" s="66"/>
      <c r="I246" s="66"/>
      <c r="J246" s="66"/>
      <c r="K246" s="66"/>
      <c r="L246" s="66"/>
      <c r="O246" s="66"/>
    </row>
    <row r="247" spans="1:15" x14ac:dyDescent="0.3">
      <c r="A247" s="66"/>
      <c r="B247" s="66"/>
      <c r="C247" s="66"/>
      <c r="D247" s="66"/>
      <c r="H247" s="66"/>
      <c r="I247" s="66"/>
      <c r="J247" s="66"/>
      <c r="K247" s="66"/>
      <c r="L247" s="66"/>
      <c r="O247" s="66"/>
    </row>
    <row r="248" spans="1:15" x14ac:dyDescent="0.3">
      <c r="A248" s="66"/>
      <c r="B248" s="66"/>
      <c r="C248" s="66"/>
      <c r="D248" s="66"/>
      <c r="H248" s="66"/>
      <c r="I248" s="66"/>
      <c r="J248" s="66"/>
      <c r="K248" s="66"/>
      <c r="L248" s="66"/>
      <c r="O248" s="66"/>
    </row>
    <row r="249" spans="1:15" x14ac:dyDescent="0.3">
      <c r="A249" s="66"/>
      <c r="B249" s="66"/>
      <c r="C249" s="66"/>
      <c r="D249" s="66"/>
      <c r="H249" s="66"/>
      <c r="I249" s="66"/>
      <c r="J249" s="66"/>
      <c r="K249" s="66"/>
      <c r="L249" s="66"/>
      <c r="O249" s="66"/>
    </row>
    <row r="250" spans="1:15" x14ac:dyDescent="0.3">
      <c r="A250" s="66"/>
      <c r="B250" s="66"/>
      <c r="C250" s="66"/>
      <c r="D250" s="66"/>
      <c r="H250" s="66"/>
      <c r="I250" s="66"/>
      <c r="J250" s="66"/>
      <c r="K250" s="66"/>
      <c r="L250" s="66"/>
      <c r="O250" s="66"/>
    </row>
    <row r="251" spans="1:15" x14ac:dyDescent="0.3">
      <c r="A251" s="66"/>
      <c r="B251" s="66"/>
      <c r="C251" s="66"/>
      <c r="D251" s="66"/>
      <c r="H251" s="66"/>
      <c r="I251" s="66"/>
      <c r="J251" s="66"/>
      <c r="K251" s="66"/>
      <c r="L251" s="66"/>
      <c r="O251" s="66"/>
    </row>
    <row r="252" spans="1:15" x14ac:dyDescent="0.3">
      <c r="A252" s="66"/>
      <c r="B252" s="66"/>
      <c r="C252" s="66"/>
      <c r="D252" s="66"/>
      <c r="H252" s="66"/>
      <c r="I252" s="66"/>
      <c r="J252" s="66"/>
      <c r="K252" s="66"/>
      <c r="L252" s="66"/>
      <c r="O252" s="66"/>
    </row>
    <row r="253" spans="1:15" x14ac:dyDescent="0.3">
      <c r="A253" s="66"/>
      <c r="B253" s="66"/>
      <c r="C253" s="66"/>
      <c r="D253" s="66"/>
      <c r="H253" s="66"/>
      <c r="I253" s="66"/>
      <c r="J253" s="66"/>
      <c r="K253" s="66"/>
      <c r="L253" s="66"/>
      <c r="O253" s="66"/>
    </row>
    <row r="254" spans="1:15" x14ac:dyDescent="0.3">
      <c r="A254" s="66"/>
      <c r="B254" s="66"/>
      <c r="C254" s="66"/>
      <c r="D254" s="66"/>
      <c r="H254" s="66"/>
      <c r="I254" s="66"/>
      <c r="J254" s="66"/>
      <c r="K254" s="66"/>
      <c r="L254" s="66"/>
      <c r="O254" s="66"/>
    </row>
    <row r="255" spans="1:15" x14ac:dyDescent="0.3">
      <c r="A255" s="66"/>
      <c r="B255" s="66"/>
      <c r="C255" s="66"/>
      <c r="D255" s="66"/>
      <c r="H255" s="66"/>
      <c r="I255" s="66"/>
      <c r="J255" s="66"/>
      <c r="K255" s="66"/>
      <c r="L255" s="66"/>
      <c r="O255" s="66"/>
    </row>
    <row r="256" spans="1:15" x14ac:dyDescent="0.3">
      <c r="A256" s="66"/>
      <c r="B256" s="66"/>
      <c r="C256" s="66"/>
      <c r="D256" s="66"/>
      <c r="H256" s="66"/>
      <c r="I256" s="66"/>
      <c r="J256" s="66"/>
      <c r="K256" s="66"/>
      <c r="L256" s="66"/>
      <c r="O256" s="66"/>
    </row>
    <row r="257" spans="1:15" x14ac:dyDescent="0.3">
      <c r="A257" s="66"/>
      <c r="B257" s="66"/>
      <c r="C257" s="66"/>
      <c r="D257" s="66"/>
      <c r="H257" s="66"/>
      <c r="I257" s="66"/>
      <c r="J257" s="66"/>
      <c r="K257" s="66"/>
      <c r="L257" s="66"/>
      <c r="O257" s="66"/>
    </row>
    <row r="258" spans="1:15" x14ac:dyDescent="0.3">
      <c r="A258" s="169"/>
      <c r="B258" s="169"/>
      <c r="C258" s="169"/>
      <c r="D258" s="169"/>
      <c r="H258" s="169"/>
      <c r="I258" s="169"/>
      <c r="J258" s="169"/>
      <c r="K258" s="169"/>
      <c r="L258" s="169"/>
      <c r="O258" s="169"/>
    </row>
    <row r="259" spans="1:15" x14ac:dyDescent="0.3">
      <c r="A259" s="66"/>
      <c r="B259" s="66"/>
      <c r="C259" s="66"/>
      <c r="D259" s="66"/>
      <c r="H259" s="66"/>
      <c r="I259" s="66"/>
      <c r="J259" s="66"/>
      <c r="K259" s="66"/>
      <c r="L259" s="66"/>
      <c r="O259" s="66"/>
    </row>
    <row r="260" spans="1:15" x14ac:dyDescent="0.3">
      <c r="A260" s="66"/>
      <c r="B260" s="66"/>
      <c r="C260" s="66"/>
      <c r="D260" s="66"/>
      <c r="H260" s="66"/>
      <c r="I260" s="66"/>
      <c r="J260" s="66"/>
      <c r="K260" s="66"/>
      <c r="L260" s="66"/>
      <c r="O260" s="66"/>
    </row>
    <row r="261" spans="1:15" x14ac:dyDescent="0.3">
      <c r="A261" s="66"/>
      <c r="B261" s="66"/>
      <c r="C261" s="66"/>
      <c r="D261" s="66"/>
      <c r="H261" s="66"/>
      <c r="I261" s="66"/>
      <c r="J261" s="66"/>
      <c r="K261" s="66"/>
      <c r="L261" s="66"/>
      <c r="O261" s="66"/>
    </row>
    <row r="262" spans="1:15" x14ac:dyDescent="0.3">
      <c r="A262" s="66"/>
      <c r="B262" s="66"/>
      <c r="C262" s="66"/>
      <c r="D262" s="66"/>
      <c r="H262" s="66"/>
      <c r="I262" s="66"/>
      <c r="J262" s="66"/>
      <c r="K262" s="66"/>
      <c r="L262" s="66"/>
      <c r="O262" s="66"/>
    </row>
    <row r="263" spans="1:15" x14ac:dyDescent="0.3">
      <c r="A263" s="66"/>
      <c r="B263" s="66"/>
      <c r="C263" s="66"/>
      <c r="D263" s="66"/>
      <c r="H263" s="66"/>
      <c r="I263" s="66"/>
      <c r="J263" s="66"/>
      <c r="K263" s="66"/>
      <c r="L263" s="66"/>
      <c r="O263" s="66"/>
    </row>
    <row r="264" spans="1:15" x14ac:dyDescent="0.3">
      <c r="A264" s="66"/>
      <c r="B264" s="66"/>
      <c r="C264" s="66"/>
      <c r="D264" s="66"/>
      <c r="H264" s="66"/>
      <c r="I264" s="66"/>
      <c r="J264" s="66"/>
      <c r="K264" s="66"/>
      <c r="L264" s="66"/>
      <c r="O264" s="66"/>
    </row>
    <row r="265" spans="1:15" x14ac:dyDescent="0.3">
      <c r="A265" s="66"/>
      <c r="B265" s="66"/>
      <c r="C265" s="66"/>
      <c r="D265" s="66"/>
      <c r="H265" s="66"/>
      <c r="I265" s="66"/>
      <c r="J265" s="66"/>
      <c r="K265" s="66"/>
      <c r="L265" s="66"/>
      <c r="O265" s="66"/>
    </row>
    <row r="266" spans="1:15" x14ac:dyDescent="0.3">
      <c r="A266" s="66"/>
      <c r="B266" s="66"/>
      <c r="C266" s="66"/>
      <c r="D266" s="66"/>
      <c r="H266" s="66"/>
      <c r="I266" s="66"/>
      <c r="J266" s="66"/>
      <c r="K266" s="66"/>
      <c r="L266" s="66"/>
      <c r="O266" s="66"/>
    </row>
    <row r="267" spans="1:15" x14ac:dyDescent="0.3">
      <c r="A267" s="66"/>
      <c r="B267" s="66"/>
      <c r="C267" s="66"/>
      <c r="D267" s="66"/>
      <c r="H267" s="66"/>
      <c r="I267" s="66"/>
      <c r="J267" s="66"/>
      <c r="K267" s="66"/>
      <c r="L267" s="66"/>
      <c r="O267" s="66"/>
    </row>
    <row r="268" spans="1:15" x14ac:dyDescent="0.3">
      <c r="A268" s="66"/>
      <c r="B268" s="66"/>
      <c r="C268" s="66"/>
      <c r="D268" s="66"/>
      <c r="H268" s="66"/>
      <c r="I268" s="66"/>
      <c r="J268" s="66"/>
      <c r="K268" s="66"/>
      <c r="L268" s="66"/>
      <c r="O268" s="66"/>
    </row>
    <row r="269" spans="1:15" x14ac:dyDescent="0.3">
      <c r="A269" s="66"/>
      <c r="B269" s="66"/>
      <c r="C269" s="66"/>
      <c r="D269" s="66"/>
      <c r="H269" s="66"/>
      <c r="I269" s="66"/>
      <c r="J269" s="66"/>
      <c r="K269" s="66"/>
      <c r="L269" s="66"/>
      <c r="O269" s="66"/>
    </row>
    <row r="270" spans="1:15" x14ac:dyDescent="0.3">
      <c r="A270" s="66"/>
      <c r="B270" s="66"/>
      <c r="C270" s="66"/>
      <c r="D270" s="66"/>
      <c r="H270" s="66"/>
      <c r="I270" s="66"/>
      <c r="J270" s="66"/>
      <c r="K270" s="66"/>
      <c r="L270" s="66"/>
      <c r="O270" s="66"/>
    </row>
    <row r="271" spans="1:15" x14ac:dyDescent="0.3">
      <c r="A271" s="66"/>
      <c r="B271" s="66"/>
      <c r="C271" s="66"/>
      <c r="D271" s="66"/>
      <c r="H271" s="66"/>
      <c r="I271" s="66"/>
      <c r="J271" s="66"/>
      <c r="K271" s="66"/>
      <c r="L271" s="66"/>
      <c r="O271" s="66"/>
    </row>
    <row r="272" spans="1:15" x14ac:dyDescent="0.3">
      <c r="A272" s="66"/>
      <c r="B272" s="66"/>
      <c r="C272" s="66"/>
      <c r="D272" s="66"/>
      <c r="H272" s="66"/>
      <c r="I272" s="66"/>
      <c r="J272" s="66"/>
      <c r="K272" s="66"/>
      <c r="L272" s="66"/>
      <c r="O272" s="66"/>
    </row>
    <row r="273" spans="1:15" x14ac:dyDescent="0.3">
      <c r="A273" s="66"/>
      <c r="B273" s="66"/>
      <c r="C273" s="66"/>
      <c r="D273" s="66"/>
      <c r="H273" s="66"/>
      <c r="I273" s="66"/>
      <c r="J273" s="66"/>
      <c r="K273" s="66"/>
      <c r="L273" s="66"/>
      <c r="O273" s="66"/>
    </row>
    <row r="274" spans="1:15" x14ac:dyDescent="0.3">
      <c r="A274" s="66"/>
      <c r="B274" s="66"/>
      <c r="C274" s="66"/>
      <c r="D274" s="66"/>
      <c r="H274" s="66"/>
      <c r="I274" s="66"/>
      <c r="J274" s="66"/>
      <c r="K274" s="66"/>
      <c r="L274" s="66"/>
      <c r="O274" s="66"/>
    </row>
    <row r="275" spans="1:15" x14ac:dyDescent="0.3">
      <c r="A275" s="66"/>
      <c r="B275" s="66"/>
      <c r="C275" s="66"/>
      <c r="D275" s="66"/>
      <c r="H275" s="66"/>
      <c r="I275" s="66"/>
      <c r="J275" s="66"/>
      <c r="K275" s="66"/>
      <c r="L275" s="66"/>
      <c r="O275" s="66"/>
    </row>
    <row r="276" spans="1:15" x14ac:dyDescent="0.3">
      <c r="A276" s="66"/>
      <c r="B276" s="66"/>
      <c r="C276" s="66"/>
      <c r="D276" s="66"/>
      <c r="H276" s="66"/>
      <c r="I276" s="66"/>
      <c r="J276" s="66"/>
      <c r="K276" s="66"/>
      <c r="L276" s="66"/>
      <c r="O276" s="66"/>
    </row>
    <row r="277" spans="1:15" x14ac:dyDescent="0.3">
      <c r="A277" s="66"/>
      <c r="B277" s="66"/>
      <c r="C277" s="66"/>
      <c r="D277" s="66"/>
      <c r="H277" s="66"/>
      <c r="I277" s="66"/>
      <c r="J277" s="66"/>
      <c r="K277" s="66"/>
      <c r="L277" s="66"/>
      <c r="O277" s="66"/>
    </row>
    <row r="278" spans="1:15" x14ac:dyDescent="0.3">
      <c r="A278" s="66"/>
      <c r="B278" s="66"/>
      <c r="C278" s="66"/>
      <c r="D278" s="66"/>
      <c r="H278" s="66"/>
      <c r="I278" s="66"/>
      <c r="J278" s="66"/>
      <c r="K278" s="66"/>
      <c r="L278" s="66"/>
      <c r="O278" s="66"/>
    </row>
    <row r="279" spans="1:15" x14ac:dyDescent="0.3">
      <c r="A279" s="66"/>
      <c r="B279" s="66"/>
      <c r="C279" s="66"/>
      <c r="D279" s="66"/>
      <c r="H279" s="66"/>
      <c r="I279" s="66"/>
      <c r="J279" s="66"/>
      <c r="K279" s="66"/>
      <c r="L279" s="66"/>
      <c r="O279" s="66"/>
    </row>
    <row r="280" spans="1:15" x14ac:dyDescent="0.3">
      <c r="A280" s="66"/>
      <c r="B280" s="66"/>
      <c r="C280" s="66"/>
      <c r="D280" s="66"/>
      <c r="H280" s="66"/>
      <c r="I280" s="66"/>
      <c r="J280" s="66"/>
      <c r="K280" s="66"/>
      <c r="L280" s="66"/>
      <c r="O280" s="66"/>
    </row>
    <row r="281" spans="1:15" x14ac:dyDescent="0.3">
      <c r="A281" s="66"/>
      <c r="B281" s="66"/>
      <c r="C281" s="66"/>
      <c r="D281" s="66"/>
      <c r="H281" s="66"/>
      <c r="I281" s="66"/>
      <c r="J281" s="66"/>
      <c r="K281" s="66"/>
      <c r="L281" s="66"/>
      <c r="O281" s="66"/>
    </row>
    <row r="282" spans="1:15" x14ac:dyDescent="0.3">
      <c r="A282" s="66"/>
      <c r="B282" s="66"/>
      <c r="C282" s="66"/>
      <c r="D282" s="66"/>
      <c r="H282" s="66"/>
      <c r="I282" s="66"/>
      <c r="J282" s="66"/>
      <c r="K282" s="66"/>
      <c r="L282" s="66"/>
      <c r="O282" s="66"/>
    </row>
    <row r="283" spans="1:15" x14ac:dyDescent="0.3">
      <c r="A283" s="66"/>
      <c r="B283" s="66"/>
      <c r="C283" s="66"/>
      <c r="D283" s="66"/>
      <c r="H283" s="66"/>
      <c r="I283" s="66"/>
      <c r="J283" s="66"/>
      <c r="K283" s="66"/>
      <c r="L283" s="66"/>
      <c r="O283" s="66"/>
    </row>
    <row r="284" spans="1:15" x14ac:dyDescent="0.3">
      <c r="A284" s="66"/>
      <c r="B284" s="66"/>
      <c r="C284" s="66"/>
      <c r="D284" s="66"/>
      <c r="H284" s="66"/>
      <c r="I284" s="66"/>
      <c r="J284" s="66"/>
      <c r="K284" s="66"/>
      <c r="L284" s="66"/>
      <c r="O284" s="66"/>
    </row>
    <row r="285" spans="1:15" x14ac:dyDescent="0.3">
      <c r="A285" s="66"/>
      <c r="B285" s="66"/>
      <c r="C285" s="66"/>
      <c r="D285" s="66"/>
      <c r="H285" s="66"/>
      <c r="I285" s="66"/>
      <c r="J285" s="66"/>
      <c r="K285" s="66"/>
      <c r="L285" s="66"/>
      <c r="O285" s="66"/>
    </row>
    <row r="286" spans="1:15" x14ac:dyDescent="0.3">
      <c r="A286" s="66"/>
      <c r="B286" s="66"/>
      <c r="C286" s="66"/>
      <c r="D286" s="66"/>
      <c r="H286" s="66"/>
      <c r="I286" s="66"/>
      <c r="J286" s="66"/>
      <c r="K286" s="66"/>
      <c r="L286" s="66"/>
      <c r="O286" s="66"/>
    </row>
    <row r="287" spans="1:15" x14ac:dyDescent="0.3">
      <c r="A287" s="66"/>
      <c r="B287" s="66"/>
      <c r="C287" s="66"/>
      <c r="D287" s="66"/>
      <c r="H287" s="66"/>
      <c r="I287" s="66"/>
      <c r="J287" s="66"/>
      <c r="K287" s="66"/>
      <c r="L287" s="66"/>
      <c r="O287" s="66"/>
    </row>
    <row r="288" spans="1:15" x14ac:dyDescent="0.3">
      <c r="A288" s="66"/>
      <c r="B288" s="66"/>
      <c r="C288" s="66"/>
      <c r="D288" s="66"/>
      <c r="H288" s="66"/>
      <c r="I288" s="66"/>
      <c r="J288" s="66"/>
      <c r="K288" s="66"/>
      <c r="L288" s="66"/>
      <c r="O288" s="66"/>
    </row>
    <row r="289" spans="1:15" x14ac:dyDescent="0.3">
      <c r="A289" s="66"/>
      <c r="B289" s="66"/>
      <c r="C289" s="66"/>
      <c r="D289" s="66"/>
      <c r="H289" s="66"/>
      <c r="I289" s="66"/>
      <c r="J289" s="66"/>
      <c r="K289" s="66"/>
      <c r="L289" s="66"/>
      <c r="O289" s="66"/>
    </row>
    <row r="290" spans="1:15" x14ac:dyDescent="0.3">
      <c r="A290" s="66"/>
      <c r="B290" s="66"/>
      <c r="C290" s="66"/>
      <c r="D290" s="66"/>
      <c r="H290" s="66"/>
      <c r="I290" s="66"/>
      <c r="J290" s="66"/>
      <c r="K290" s="66"/>
      <c r="L290" s="66"/>
      <c r="O290" s="66"/>
    </row>
    <row r="291" spans="1:15" x14ac:dyDescent="0.3">
      <c r="A291" s="66"/>
      <c r="B291" s="66"/>
      <c r="C291" s="66"/>
      <c r="D291" s="66"/>
      <c r="H291" s="66"/>
      <c r="I291" s="66"/>
      <c r="J291" s="66"/>
      <c r="K291" s="66"/>
      <c r="L291" s="66"/>
      <c r="O291" s="66"/>
    </row>
    <row r="292" spans="1:15" x14ac:dyDescent="0.3">
      <c r="A292" s="66"/>
      <c r="B292" s="66"/>
      <c r="C292" s="66"/>
      <c r="D292" s="66"/>
      <c r="H292" s="66"/>
      <c r="I292" s="66"/>
      <c r="J292" s="66"/>
      <c r="K292" s="66"/>
      <c r="L292" s="66"/>
      <c r="O292" s="66"/>
    </row>
    <row r="293" spans="1:15" x14ac:dyDescent="0.3">
      <c r="A293" s="66"/>
      <c r="B293" s="66"/>
      <c r="C293" s="66"/>
      <c r="D293" s="66"/>
      <c r="H293" s="66"/>
      <c r="I293" s="66"/>
      <c r="J293" s="66"/>
      <c r="K293" s="66"/>
      <c r="L293" s="66"/>
      <c r="O293" s="66"/>
    </row>
    <row r="294" spans="1:15" x14ac:dyDescent="0.3">
      <c r="A294" s="66"/>
      <c r="B294" s="66"/>
      <c r="C294" s="66"/>
      <c r="D294" s="66"/>
      <c r="H294" s="66"/>
      <c r="I294" s="66"/>
      <c r="J294" s="66"/>
      <c r="K294" s="66"/>
      <c r="L294" s="66"/>
      <c r="O294" s="66"/>
    </row>
    <row r="295" spans="1:15" x14ac:dyDescent="0.3">
      <c r="A295" s="66"/>
      <c r="B295" s="66"/>
      <c r="C295" s="66"/>
      <c r="D295" s="66"/>
      <c r="H295" s="66"/>
      <c r="I295" s="66"/>
      <c r="J295" s="66"/>
      <c r="K295" s="66"/>
      <c r="L295" s="66"/>
      <c r="O295" s="66"/>
    </row>
    <row r="296" spans="1:15" x14ac:dyDescent="0.3">
      <c r="A296" s="66"/>
      <c r="B296" s="66"/>
      <c r="C296" s="66"/>
      <c r="D296" s="66"/>
      <c r="H296" s="66"/>
      <c r="I296" s="66"/>
      <c r="J296" s="66"/>
      <c r="K296" s="66"/>
      <c r="L296" s="66"/>
      <c r="O296" s="66"/>
    </row>
    <row r="297" spans="1:15" x14ac:dyDescent="0.3">
      <c r="A297" s="66"/>
      <c r="B297" s="66"/>
      <c r="C297" s="66"/>
      <c r="D297" s="66"/>
      <c r="H297" s="66"/>
      <c r="I297" s="66"/>
      <c r="J297" s="66"/>
      <c r="K297" s="66"/>
      <c r="L297" s="66"/>
      <c r="O297" s="66"/>
    </row>
    <row r="298" spans="1:15" x14ac:dyDescent="0.3">
      <c r="A298" s="66"/>
      <c r="B298" s="66"/>
      <c r="C298" s="66"/>
      <c r="D298" s="66"/>
      <c r="H298" s="66"/>
      <c r="I298" s="66"/>
      <c r="J298" s="66"/>
      <c r="K298" s="66"/>
      <c r="L298" s="66"/>
      <c r="O298" s="66"/>
    </row>
    <row r="299" spans="1:15" x14ac:dyDescent="0.3">
      <c r="A299" s="66"/>
      <c r="B299" s="66"/>
      <c r="C299" s="66"/>
      <c r="D299" s="66"/>
      <c r="H299" s="66"/>
      <c r="I299" s="66"/>
      <c r="J299" s="66"/>
      <c r="K299" s="66"/>
      <c r="L299" s="66"/>
      <c r="O299" s="66"/>
    </row>
    <row r="300" spans="1:15" x14ac:dyDescent="0.3">
      <c r="A300" s="66"/>
      <c r="B300" s="66"/>
      <c r="C300" s="66"/>
      <c r="D300" s="66"/>
      <c r="H300" s="66"/>
      <c r="I300" s="66"/>
      <c r="J300" s="66"/>
      <c r="K300" s="66"/>
      <c r="L300" s="66"/>
      <c r="O300" s="66"/>
    </row>
    <row r="301" spans="1:15" x14ac:dyDescent="0.3">
      <c r="A301" s="66"/>
      <c r="B301" s="66"/>
      <c r="C301" s="66"/>
      <c r="D301" s="66"/>
      <c r="H301" s="66"/>
      <c r="I301" s="66"/>
      <c r="J301" s="66"/>
      <c r="K301" s="66"/>
      <c r="L301" s="66"/>
      <c r="O301" s="66"/>
    </row>
    <row r="302" spans="1:15" x14ac:dyDescent="0.3">
      <c r="A302" s="66"/>
      <c r="B302" s="66"/>
      <c r="C302" s="66"/>
      <c r="D302" s="66"/>
      <c r="H302" s="66"/>
      <c r="I302" s="66"/>
      <c r="J302" s="66"/>
      <c r="K302" s="66"/>
      <c r="L302" s="66"/>
      <c r="O302" s="66"/>
    </row>
    <row r="303" spans="1:15" x14ac:dyDescent="0.3">
      <c r="A303" s="66"/>
      <c r="B303" s="66"/>
      <c r="C303" s="66"/>
      <c r="D303" s="66"/>
      <c r="H303" s="66"/>
      <c r="I303" s="66"/>
      <c r="J303" s="66"/>
      <c r="K303" s="66"/>
      <c r="L303" s="66"/>
      <c r="O303" s="66"/>
    </row>
    <row r="304" spans="1:15" x14ac:dyDescent="0.3">
      <c r="A304" s="66"/>
      <c r="B304" s="66"/>
      <c r="C304" s="66"/>
      <c r="D304" s="66"/>
      <c r="H304" s="66"/>
      <c r="I304" s="66"/>
      <c r="J304" s="66"/>
      <c r="K304" s="66"/>
      <c r="L304" s="66"/>
      <c r="O304" s="66"/>
    </row>
    <row r="305" spans="1:15" x14ac:dyDescent="0.3">
      <c r="A305" s="66"/>
      <c r="B305" s="66"/>
      <c r="C305" s="66"/>
      <c r="D305" s="66"/>
      <c r="H305" s="66"/>
      <c r="I305" s="66"/>
      <c r="J305" s="66"/>
      <c r="K305" s="66"/>
      <c r="L305" s="66"/>
      <c r="O305" s="66"/>
    </row>
    <row r="306" spans="1:15" x14ac:dyDescent="0.3">
      <c r="A306" s="66"/>
      <c r="B306" s="66"/>
      <c r="C306" s="66"/>
      <c r="D306" s="66"/>
      <c r="H306" s="66"/>
      <c r="I306" s="66"/>
      <c r="J306" s="66"/>
      <c r="K306" s="66"/>
      <c r="L306" s="66"/>
      <c r="O306" s="66"/>
    </row>
    <row r="307" spans="1:15" x14ac:dyDescent="0.3">
      <c r="A307" s="66"/>
      <c r="B307" s="66"/>
      <c r="C307" s="66"/>
      <c r="D307" s="66"/>
      <c r="H307" s="66"/>
      <c r="I307" s="66"/>
      <c r="J307" s="66"/>
      <c r="K307" s="66"/>
      <c r="L307" s="66"/>
      <c r="O307" s="66"/>
    </row>
    <row r="308" spans="1:15" x14ac:dyDescent="0.3">
      <c r="A308" s="66"/>
      <c r="B308" s="66"/>
      <c r="C308" s="66"/>
      <c r="D308" s="66"/>
      <c r="H308" s="66"/>
      <c r="I308" s="66"/>
      <c r="J308" s="66"/>
      <c r="K308" s="66"/>
      <c r="L308" s="66"/>
      <c r="O308" s="66"/>
    </row>
    <row r="309" spans="1:15" x14ac:dyDescent="0.3">
      <c r="A309" s="66"/>
      <c r="B309" s="66"/>
      <c r="C309" s="66"/>
      <c r="D309" s="66"/>
      <c r="H309" s="66"/>
      <c r="I309" s="66"/>
      <c r="J309" s="66"/>
      <c r="K309" s="66"/>
      <c r="L309" s="66"/>
      <c r="O309" s="66"/>
    </row>
    <row r="310" spans="1:15" x14ac:dyDescent="0.3">
      <c r="A310" s="66"/>
      <c r="B310" s="66"/>
      <c r="C310" s="66"/>
      <c r="D310" s="66"/>
      <c r="H310" s="66"/>
      <c r="I310" s="66"/>
      <c r="J310" s="66"/>
      <c r="K310" s="66"/>
      <c r="L310" s="66"/>
      <c r="O310" s="66"/>
    </row>
    <row r="311" spans="1:15" x14ac:dyDescent="0.3">
      <c r="A311" s="66"/>
      <c r="B311" s="66"/>
      <c r="C311" s="66"/>
      <c r="D311" s="66"/>
      <c r="H311" s="66"/>
      <c r="I311" s="66"/>
      <c r="J311" s="66"/>
      <c r="K311" s="66"/>
      <c r="L311" s="66"/>
      <c r="O311" s="66"/>
    </row>
    <row r="312" spans="1:15" x14ac:dyDescent="0.3">
      <c r="A312" s="66"/>
      <c r="B312" s="66"/>
      <c r="C312" s="66"/>
      <c r="D312" s="66"/>
      <c r="H312" s="66"/>
      <c r="I312" s="66"/>
      <c r="J312" s="66"/>
      <c r="K312" s="66"/>
      <c r="L312" s="66"/>
      <c r="O312" s="66"/>
    </row>
    <row r="313" spans="1:15" x14ac:dyDescent="0.3">
      <c r="A313" s="66"/>
      <c r="B313" s="66"/>
      <c r="C313" s="66"/>
      <c r="D313" s="66"/>
      <c r="H313" s="66"/>
      <c r="I313" s="66"/>
      <c r="J313" s="66"/>
      <c r="K313" s="66"/>
      <c r="L313" s="66"/>
      <c r="O313" s="66"/>
    </row>
    <row r="314" spans="1:15" x14ac:dyDescent="0.3">
      <c r="A314" s="66"/>
      <c r="B314" s="66"/>
      <c r="C314" s="66"/>
      <c r="D314" s="66"/>
      <c r="H314" s="66"/>
      <c r="I314" s="66"/>
      <c r="J314" s="66"/>
      <c r="K314" s="66"/>
      <c r="L314" s="66"/>
      <c r="O314" s="66"/>
    </row>
    <row r="315" spans="1:15" x14ac:dyDescent="0.3">
      <c r="A315" s="66"/>
      <c r="B315" s="66"/>
      <c r="C315" s="66"/>
      <c r="D315" s="66"/>
      <c r="H315" s="66"/>
      <c r="I315" s="66"/>
      <c r="J315" s="66"/>
      <c r="K315" s="66"/>
      <c r="L315" s="66"/>
      <c r="O315" s="66"/>
    </row>
    <row r="316" spans="1:15" x14ac:dyDescent="0.3">
      <c r="A316" s="66"/>
      <c r="B316" s="66"/>
      <c r="C316" s="66"/>
      <c r="D316" s="66"/>
      <c r="H316" s="66"/>
      <c r="I316" s="66"/>
      <c r="J316" s="66"/>
      <c r="K316" s="66"/>
      <c r="L316" s="66"/>
      <c r="O316" s="66"/>
    </row>
    <row r="317" spans="1:15" x14ac:dyDescent="0.3">
      <c r="A317" s="66"/>
      <c r="B317" s="66"/>
      <c r="C317" s="66"/>
      <c r="D317" s="66"/>
      <c r="H317" s="66"/>
      <c r="I317" s="66"/>
      <c r="J317" s="66"/>
      <c r="K317" s="66"/>
      <c r="L317" s="66"/>
      <c r="O317" s="66"/>
    </row>
    <row r="318" spans="1:15" x14ac:dyDescent="0.3">
      <c r="A318" s="66"/>
      <c r="B318" s="66"/>
      <c r="C318" s="66"/>
      <c r="D318" s="66"/>
      <c r="H318" s="66"/>
      <c r="I318" s="66"/>
      <c r="J318" s="66"/>
      <c r="K318" s="66"/>
      <c r="L318" s="66"/>
      <c r="O318" s="66"/>
    </row>
    <row r="319" spans="1:15" x14ac:dyDescent="0.3">
      <c r="A319" s="66"/>
      <c r="B319" s="66"/>
      <c r="C319" s="66"/>
      <c r="D319" s="66"/>
      <c r="H319" s="66"/>
      <c r="I319" s="66"/>
      <c r="J319" s="66"/>
      <c r="K319" s="66"/>
      <c r="L319" s="66"/>
      <c r="O319" s="66"/>
    </row>
    <row r="320" spans="1:15" x14ac:dyDescent="0.3">
      <c r="A320" s="66"/>
      <c r="B320" s="66"/>
      <c r="C320" s="66"/>
      <c r="D320" s="66"/>
      <c r="H320" s="66"/>
      <c r="I320" s="66"/>
      <c r="J320" s="66"/>
      <c r="K320" s="66"/>
      <c r="L320" s="66"/>
      <c r="O320" s="66"/>
    </row>
    <row r="321" spans="1:15" x14ac:dyDescent="0.3">
      <c r="A321" s="66"/>
      <c r="B321" s="66"/>
      <c r="C321" s="66"/>
      <c r="D321" s="66"/>
      <c r="H321" s="66"/>
      <c r="I321" s="66"/>
      <c r="J321" s="66"/>
      <c r="K321" s="66"/>
      <c r="L321" s="66"/>
      <c r="O321" s="66"/>
    </row>
    <row r="322" spans="1:15" x14ac:dyDescent="0.3">
      <c r="A322" s="66"/>
      <c r="B322" s="66"/>
      <c r="C322" s="66"/>
      <c r="D322" s="66"/>
      <c r="H322" s="66"/>
      <c r="I322" s="66"/>
      <c r="J322" s="66"/>
      <c r="K322" s="66"/>
      <c r="L322" s="66"/>
      <c r="O322" s="66"/>
    </row>
    <row r="323" spans="1:15" x14ac:dyDescent="0.3">
      <c r="A323" s="66"/>
      <c r="B323" s="66"/>
      <c r="C323" s="66"/>
      <c r="D323" s="66"/>
      <c r="H323" s="66"/>
      <c r="I323" s="66"/>
      <c r="J323" s="66"/>
      <c r="K323" s="66"/>
      <c r="L323" s="66"/>
      <c r="O323" s="66"/>
    </row>
    <row r="324" spans="1:15" x14ac:dyDescent="0.3">
      <c r="A324" s="66"/>
      <c r="B324" s="66"/>
      <c r="C324" s="66"/>
      <c r="D324" s="66"/>
      <c r="H324" s="66"/>
      <c r="I324" s="66"/>
      <c r="J324" s="66"/>
      <c r="K324" s="66"/>
      <c r="L324" s="66"/>
      <c r="O324" s="66"/>
    </row>
    <row r="325" spans="1:15" x14ac:dyDescent="0.3">
      <c r="A325" s="66"/>
      <c r="B325" s="66"/>
      <c r="C325" s="66"/>
      <c r="D325" s="66"/>
      <c r="H325" s="66"/>
      <c r="I325" s="66"/>
      <c r="J325" s="66"/>
      <c r="K325" s="66"/>
      <c r="L325" s="66"/>
      <c r="O325" s="66"/>
    </row>
    <row r="326" spans="1:15" x14ac:dyDescent="0.3">
      <c r="A326" s="66"/>
      <c r="B326" s="66"/>
      <c r="C326" s="66"/>
      <c r="D326" s="66"/>
      <c r="H326" s="66"/>
      <c r="I326" s="66"/>
      <c r="J326" s="66"/>
      <c r="K326" s="66"/>
      <c r="L326" s="66"/>
      <c r="O326" s="66"/>
    </row>
    <row r="327" spans="1:15" x14ac:dyDescent="0.3">
      <c r="A327" s="66"/>
      <c r="B327" s="66"/>
      <c r="C327" s="66"/>
      <c r="D327" s="66"/>
      <c r="H327" s="66"/>
      <c r="I327" s="66"/>
      <c r="J327" s="66"/>
      <c r="K327" s="66"/>
      <c r="L327" s="66"/>
      <c r="O327" s="66"/>
    </row>
    <row r="328" spans="1:15" x14ac:dyDescent="0.3">
      <c r="A328" s="66"/>
      <c r="B328" s="66"/>
      <c r="C328" s="66"/>
      <c r="D328" s="66"/>
      <c r="H328" s="66"/>
      <c r="I328" s="66"/>
      <c r="J328" s="66"/>
      <c r="K328" s="66"/>
      <c r="L328" s="66"/>
      <c r="O328" s="66"/>
    </row>
    <row r="329" spans="1:15" x14ac:dyDescent="0.3">
      <c r="A329" s="66"/>
      <c r="B329" s="66"/>
      <c r="C329" s="66"/>
      <c r="D329" s="66"/>
      <c r="H329" s="66"/>
      <c r="I329" s="66"/>
      <c r="J329" s="66"/>
      <c r="K329" s="66"/>
      <c r="L329" s="66"/>
      <c r="O329" s="66"/>
    </row>
    <row r="330" spans="1:15" x14ac:dyDescent="0.3">
      <c r="A330" s="66"/>
      <c r="B330" s="66"/>
      <c r="C330" s="66"/>
      <c r="D330" s="66"/>
      <c r="H330" s="66"/>
      <c r="I330" s="66"/>
      <c r="J330" s="66"/>
      <c r="K330" s="66"/>
      <c r="L330" s="66"/>
      <c r="O330" s="66"/>
    </row>
    <row r="331" spans="1:15" x14ac:dyDescent="0.3">
      <c r="A331" s="66"/>
      <c r="B331" s="66"/>
      <c r="C331" s="66"/>
      <c r="D331" s="66"/>
      <c r="H331" s="66"/>
      <c r="I331" s="66"/>
      <c r="J331" s="66"/>
      <c r="K331" s="66"/>
      <c r="L331" s="66"/>
      <c r="O331" s="66"/>
    </row>
    <row r="332" spans="1:15" x14ac:dyDescent="0.3">
      <c r="A332" s="66"/>
      <c r="B332" s="66"/>
      <c r="C332" s="66"/>
      <c r="D332" s="66"/>
      <c r="H332" s="66"/>
      <c r="I332" s="66"/>
      <c r="J332" s="66"/>
      <c r="K332" s="66"/>
      <c r="L332" s="66"/>
      <c r="O332" s="66"/>
    </row>
    <row r="333" spans="1:15" x14ac:dyDescent="0.3">
      <c r="A333" s="66"/>
      <c r="B333" s="66"/>
      <c r="C333" s="66"/>
      <c r="D333" s="66"/>
      <c r="H333" s="66"/>
      <c r="I333" s="66"/>
      <c r="J333" s="66"/>
      <c r="K333" s="66"/>
      <c r="L333" s="66"/>
      <c r="O333" s="66"/>
    </row>
    <row r="334" spans="1:15" x14ac:dyDescent="0.3">
      <c r="A334" s="66"/>
      <c r="B334" s="66"/>
      <c r="C334" s="66"/>
      <c r="D334" s="66"/>
      <c r="H334" s="66"/>
      <c r="I334" s="66"/>
      <c r="J334" s="66"/>
      <c r="K334" s="66"/>
      <c r="L334" s="66"/>
      <c r="O334" s="66"/>
    </row>
    <row r="335" spans="1:15" x14ac:dyDescent="0.3">
      <c r="A335" s="66"/>
      <c r="B335" s="66"/>
      <c r="C335" s="66"/>
      <c r="D335" s="66"/>
      <c r="H335" s="66"/>
      <c r="I335" s="66"/>
      <c r="J335" s="66"/>
      <c r="K335" s="66"/>
      <c r="L335" s="66"/>
      <c r="O335" s="66"/>
    </row>
    <row r="336" spans="1:15" x14ac:dyDescent="0.3">
      <c r="A336" s="66"/>
      <c r="B336" s="66"/>
      <c r="C336" s="66"/>
      <c r="D336" s="66"/>
      <c r="H336" s="66"/>
      <c r="I336" s="66"/>
      <c r="J336" s="66"/>
      <c r="K336" s="66"/>
      <c r="L336" s="66"/>
      <c r="O336" s="66"/>
    </row>
    <row r="337" spans="1:15" x14ac:dyDescent="0.3">
      <c r="A337" s="66"/>
      <c r="B337" s="66"/>
      <c r="C337" s="66"/>
      <c r="D337" s="66"/>
      <c r="H337" s="66"/>
      <c r="I337" s="66"/>
      <c r="J337" s="66"/>
      <c r="K337" s="66"/>
      <c r="L337" s="66"/>
      <c r="O337" s="66"/>
    </row>
    <row r="338" spans="1:15" x14ac:dyDescent="0.3">
      <c r="A338" s="66"/>
      <c r="B338" s="66"/>
      <c r="C338" s="66"/>
      <c r="D338" s="66"/>
      <c r="H338" s="66"/>
      <c r="I338" s="66"/>
      <c r="J338" s="66"/>
      <c r="K338" s="66"/>
      <c r="L338" s="66"/>
      <c r="O338" s="66"/>
    </row>
    <row r="339" spans="1:15" x14ac:dyDescent="0.3">
      <c r="A339" s="66"/>
      <c r="B339" s="66"/>
      <c r="C339" s="66"/>
      <c r="D339" s="66"/>
      <c r="H339" s="66"/>
      <c r="I339" s="66"/>
      <c r="J339" s="66"/>
      <c r="K339" s="66"/>
      <c r="L339" s="66"/>
      <c r="O339" s="66"/>
    </row>
    <row r="340" spans="1:15" x14ac:dyDescent="0.3">
      <c r="A340" s="66"/>
      <c r="B340" s="66"/>
      <c r="C340" s="66"/>
      <c r="D340" s="66"/>
      <c r="H340" s="66"/>
      <c r="I340" s="66"/>
      <c r="J340" s="66"/>
      <c r="K340" s="66"/>
      <c r="L340" s="66"/>
      <c r="O340" s="66"/>
    </row>
    <row r="341" spans="1:15" x14ac:dyDescent="0.3">
      <c r="A341" s="66"/>
      <c r="B341" s="66"/>
      <c r="C341" s="66"/>
      <c r="D341" s="66"/>
      <c r="H341" s="66"/>
      <c r="I341" s="66"/>
      <c r="J341" s="66"/>
      <c r="K341" s="66"/>
      <c r="L341" s="66"/>
      <c r="O341" s="66"/>
    </row>
    <row r="342" spans="1:15" x14ac:dyDescent="0.3">
      <c r="A342" s="66"/>
      <c r="B342" s="66"/>
      <c r="C342" s="66"/>
      <c r="D342" s="66"/>
      <c r="H342" s="66"/>
      <c r="I342" s="66"/>
      <c r="J342" s="66"/>
      <c r="K342" s="66"/>
      <c r="L342" s="66"/>
      <c r="O342" s="66"/>
    </row>
    <row r="343" spans="1:15" x14ac:dyDescent="0.3">
      <c r="A343" s="66"/>
      <c r="B343" s="66"/>
      <c r="C343" s="66"/>
      <c r="D343" s="66"/>
      <c r="H343" s="66"/>
      <c r="I343" s="66"/>
      <c r="J343" s="66"/>
      <c r="K343" s="66"/>
      <c r="L343" s="66"/>
      <c r="O343" s="66"/>
    </row>
    <row r="344" spans="1:15" x14ac:dyDescent="0.3">
      <c r="A344" s="66"/>
      <c r="B344" s="66"/>
      <c r="C344" s="66"/>
      <c r="D344" s="66"/>
      <c r="H344" s="66"/>
      <c r="I344" s="66"/>
      <c r="J344" s="66"/>
      <c r="K344" s="66"/>
      <c r="L344" s="66"/>
      <c r="O344" s="66"/>
    </row>
    <row r="345" spans="1:15" x14ac:dyDescent="0.3">
      <c r="A345" s="66"/>
      <c r="B345" s="66"/>
      <c r="C345" s="66"/>
      <c r="D345" s="66"/>
      <c r="H345" s="66"/>
      <c r="I345" s="66"/>
      <c r="J345" s="66"/>
      <c r="K345" s="66"/>
      <c r="L345" s="66"/>
      <c r="O345" s="66"/>
    </row>
    <row r="346" spans="1:15" x14ac:dyDescent="0.3">
      <c r="A346" s="66"/>
      <c r="B346" s="66"/>
      <c r="C346" s="66"/>
      <c r="D346" s="66"/>
      <c r="H346" s="66"/>
      <c r="I346" s="66"/>
      <c r="J346" s="66"/>
      <c r="K346" s="66"/>
      <c r="L346" s="66"/>
      <c r="O346" s="66"/>
    </row>
    <row r="347" spans="1:15" x14ac:dyDescent="0.3">
      <c r="A347" s="66"/>
      <c r="B347" s="66"/>
      <c r="C347" s="66"/>
      <c r="D347" s="66"/>
      <c r="H347" s="66"/>
      <c r="I347" s="66"/>
      <c r="J347" s="66"/>
      <c r="K347" s="66"/>
      <c r="L347" s="66"/>
      <c r="O347" s="66"/>
    </row>
    <row r="348" spans="1:15" x14ac:dyDescent="0.3">
      <c r="A348" s="66"/>
      <c r="B348" s="66"/>
      <c r="C348" s="66"/>
      <c r="D348" s="66"/>
      <c r="H348" s="66"/>
      <c r="I348" s="66"/>
      <c r="J348" s="66"/>
      <c r="K348" s="66"/>
      <c r="L348" s="66"/>
      <c r="O348" s="66"/>
    </row>
    <row r="349" spans="1:15" x14ac:dyDescent="0.3">
      <c r="A349" s="66"/>
      <c r="B349" s="66"/>
      <c r="C349" s="66"/>
      <c r="D349" s="66"/>
      <c r="H349" s="66"/>
      <c r="I349" s="66"/>
      <c r="J349" s="66"/>
      <c r="K349" s="66"/>
      <c r="L349" s="66"/>
      <c r="O349" s="66"/>
    </row>
    <row r="350" spans="1:15" x14ac:dyDescent="0.3">
      <c r="A350" s="66"/>
      <c r="B350" s="66"/>
      <c r="C350" s="66"/>
      <c r="D350" s="66"/>
      <c r="H350" s="66"/>
      <c r="I350" s="66"/>
      <c r="J350" s="66"/>
      <c r="K350" s="66"/>
      <c r="L350" s="66"/>
      <c r="O350" s="66"/>
    </row>
    <row r="351" spans="1:15" x14ac:dyDescent="0.3">
      <c r="A351" s="66"/>
      <c r="B351" s="66"/>
      <c r="C351" s="66"/>
      <c r="D351" s="66"/>
      <c r="H351" s="66"/>
      <c r="I351" s="66"/>
      <c r="J351" s="66"/>
      <c r="K351" s="66"/>
      <c r="L351" s="66"/>
      <c r="O351" s="66"/>
    </row>
    <row r="352" spans="1:15" x14ac:dyDescent="0.3">
      <c r="A352" s="66"/>
      <c r="B352" s="66"/>
      <c r="C352" s="66"/>
      <c r="D352" s="66"/>
      <c r="H352" s="66"/>
      <c r="I352" s="66"/>
      <c r="J352" s="66"/>
      <c r="K352" s="66"/>
      <c r="L352" s="66"/>
      <c r="O352" s="66"/>
    </row>
    <row r="353" spans="1:15" x14ac:dyDescent="0.3">
      <c r="A353" s="66"/>
      <c r="B353" s="66"/>
      <c r="C353" s="66"/>
      <c r="D353" s="66"/>
      <c r="H353" s="66"/>
      <c r="I353" s="66"/>
      <c r="J353" s="66"/>
      <c r="K353" s="66"/>
      <c r="L353" s="66"/>
      <c r="O353" s="66"/>
    </row>
    <row r="354" spans="1:15" x14ac:dyDescent="0.3">
      <c r="A354" s="66"/>
      <c r="B354" s="66"/>
      <c r="C354" s="66"/>
      <c r="D354" s="66"/>
      <c r="H354" s="66"/>
      <c r="I354" s="66"/>
      <c r="J354" s="66"/>
      <c r="K354" s="66"/>
      <c r="L354" s="66"/>
      <c r="O354" s="66"/>
    </row>
    <row r="355" spans="1:15" x14ac:dyDescent="0.3">
      <c r="A355" s="66"/>
      <c r="B355" s="66"/>
      <c r="C355" s="66"/>
      <c r="D355" s="66"/>
      <c r="H355" s="66"/>
      <c r="I355" s="66"/>
      <c r="J355" s="66"/>
      <c r="K355" s="66"/>
      <c r="L355" s="66"/>
      <c r="O355" s="66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sheetPr codeName="Sheet16"/>
  <dimension ref="A1:AR97"/>
  <sheetViews>
    <sheetView workbookViewId="0">
      <pane xSplit="4" ySplit="1" topLeftCell="AG83" activePane="bottomRight" state="frozen"/>
      <selection activeCell="C1" sqref="C1"/>
      <selection pane="topRight" activeCell="C1" sqref="C1"/>
      <selection pane="bottomLeft" activeCell="C1" sqref="C1"/>
      <selection pane="bottomRight" activeCell="AO1" sqref="AO1"/>
    </sheetView>
  </sheetViews>
  <sheetFormatPr defaultColWidth="8.77734375" defaultRowHeight="14.4" x14ac:dyDescent="0.3"/>
  <cols>
    <col min="1" max="2" width="9.21875" style="7" customWidth="1"/>
    <col min="3" max="3" width="15.77734375" style="7" customWidth="1"/>
    <col min="4" max="6" width="8.77734375" style="7"/>
    <col min="7" max="7" width="20.5546875" style="7" customWidth="1"/>
    <col min="8" max="8" width="8.77734375" style="7"/>
    <col min="9" max="9" width="9.44140625" style="7" bestFit="1" customWidth="1"/>
    <col min="10" max="14" width="8.77734375" style="7"/>
    <col min="15" max="15" width="9.77734375" style="7" bestFit="1" customWidth="1"/>
    <col min="16" max="16" width="11" style="7" customWidth="1"/>
    <col min="17" max="17" width="15.21875" style="7" customWidth="1"/>
    <col min="18" max="19" width="10.77734375" style="7" customWidth="1"/>
    <col min="20" max="20" width="13" style="7" customWidth="1"/>
    <col min="21" max="25" width="12.77734375" style="7" customWidth="1"/>
    <col min="26" max="27" width="14.5546875" style="7" customWidth="1"/>
    <col min="28" max="29" width="15.5546875" style="7" customWidth="1"/>
    <col min="30" max="38" width="9.77734375" style="7" customWidth="1"/>
    <col min="39" max="39" width="12" style="7" bestFit="1" customWidth="1"/>
    <col min="40" max="40" width="11.21875" style="7" customWidth="1"/>
    <col min="41" max="41" width="10.5546875" style="7" customWidth="1"/>
    <col min="42" max="42" width="8.77734375" style="7"/>
    <col min="43" max="43" width="10.5546875" style="7" bestFit="1" customWidth="1"/>
    <col min="44" max="16384" width="8.77734375" style="7"/>
  </cols>
  <sheetData>
    <row r="1" spans="1:44" ht="43.2" x14ac:dyDescent="0.3">
      <c r="A1" s="110" t="s">
        <v>57</v>
      </c>
      <c r="B1" s="110" t="s">
        <v>1117</v>
      </c>
      <c r="C1" s="110" t="s">
        <v>1118</v>
      </c>
      <c r="D1" s="110" t="s">
        <v>74</v>
      </c>
      <c r="E1" s="110" t="s">
        <v>1119</v>
      </c>
      <c r="F1" s="110" t="s">
        <v>1120</v>
      </c>
      <c r="G1" s="110" t="s">
        <v>1121</v>
      </c>
      <c r="H1" s="110" t="s">
        <v>1122</v>
      </c>
      <c r="I1" s="110" t="s">
        <v>1067</v>
      </c>
      <c r="J1" s="110" t="s">
        <v>1123</v>
      </c>
      <c r="K1" s="110" t="s">
        <v>1124</v>
      </c>
      <c r="L1" s="110" t="s">
        <v>1125</v>
      </c>
      <c r="M1" s="110" t="s">
        <v>1126</v>
      </c>
      <c r="N1" s="110" t="s">
        <v>1127</v>
      </c>
      <c r="O1" s="110" t="s">
        <v>1066</v>
      </c>
      <c r="P1" s="110" t="s">
        <v>1128</v>
      </c>
      <c r="Q1" s="110" t="s">
        <v>1129</v>
      </c>
      <c r="R1" s="110" t="s">
        <v>1130</v>
      </c>
      <c r="S1" s="110" t="s">
        <v>1131</v>
      </c>
      <c r="T1" s="110" t="s">
        <v>1132</v>
      </c>
      <c r="U1" s="110" t="s">
        <v>1133</v>
      </c>
      <c r="V1" s="110" t="s">
        <v>1134</v>
      </c>
      <c r="W1" s="110" t="s">
        <v>1135</v>
      </c>
      <c r="X1" s="110" t="s">
        <v>1136</v>
      </c>
      <c r="Y1" s="110" t="s">
        <v>1137</v>
      </c>
      <c r="Z1" s="110" t="s">
        <v>1138</v>
      </c>
      <c r="AA1" s="110" t="s">
        <v>1139</v>
      </c>
      <c r="AB1" s="110" t="s">
        <v>1140</v>
      </c>
      <c r="AC1" s="110" t="s">
        <v>1141</v>
      </c>
      <c r="AD1" s="110" t="s">
        <v>1142</v>
      </c>
      <c r="AE1" s="110" t="s">
        <v>1143</v>
      </c>
      <c r="AF1" s="110" t="s">
        <v>1144</v>
      </c>
      <c r="AG1" s="110" t="s">
        <v>1145</v>
      </c>
      <c r="AH1" s="110" t="s">
        <v>1146</v>
      </c>
      <c r="AI1" s="110" t="s">
        <v>1147</v>
      </c>
      <c r="AJ1" s="110" t="s">
        <v>1148</v>
      </c>
      <c r="AK1" s="110" t="s">
        <v>1149</v>
      </c>
      <c r="AL1" s="110" t="s">
        <v>1150</v>
      </c>
      <c r="AM1" s="110" t="s">
        <v>1181</v>
      </c>
      <c r="AN1" s="136" t="s">
        <v>1182</v>
      </c>
      <c r="AO1" s="110" t="s">
        <v>1225</v>
      </c>
      <c r="AQ1" s="7" t="s">
        <v>3</v>
      </c>
      <c r="AR1" s="111">
        <v>8.0208999999999993</v>
      </c>
    </row>
    <row r="2" spans="1:44" x14ac:dyDescent="0.3">
      <c r="A2" s="112">
        <v>1</v>
      </c>
      <c r="B2" s="113" t="s">
        <v>1151</v>
      </c>
      <c r="C2" s="112">
        <v>4</v>
      </c>
      <c r="D2" s="114">
        <v>43191</v>
      </c>
      <c r="E2" s="115">
        <f t="shared" ref="E2:E3" si="0">YEAR(D2)</f>
        <v>2018</v>
      </c>
      <c r="F2" s="115" t="s">
        <v>1152</v>
      </c>
      <c r="G2" s="116">
        <f t="shared" ref="G2:G3" si="1">DAY(EOMONTH(D2,0))</f>
        <v>30</v>
      </c>
      <c r="H2" s="117">
        <v>193.6</v>
      </c>
      <c r="I2" s="117">
        <v>191.7</v>
      </c>
      <c r="J2" s="118"/>
      <c r="K2" s="117"/>
      <c r="L2" s="116"/>
      <c r="M2" s="119">
        <v>1055.6537985859879</v>
      </c>
      <c r="N2" s="119">
        <v>8.0208999999999993</v>
      </c>
      <c r="O2" s="120">
        <f t="shared" ref="O2:O3" si="2">IFERROR(M2/I2/N2,"")</f>
        <v>0.68655652664663702</v>
      </c>
      <c r="P2" s="118">
        <f t="shared" ref="P2:P3" si="3">IFERROR(I2/G2,"")</f>
        <v>6.39</v>
      </c>
      <c r="Q2" s="116">
        <f>COUNTIFS('Daily KPI'!$D:$D,D2,'Daily KPI'!$O:$O,"&gt;0")</f>
        <v>0</v>
      </c>
      <c r="R2" s="119">
        <f t="shared" ref="R2:R3" si="4">I2/G2*Q2</f>
        <v>0</v>
      </c>
      <c r="S2" s="119">
        <f>SUMIF($F$2:F2,F2,$R$2:R2)</f>
        <v>0</v>
      </c>
      <c r="T2" s="118">
        <f t="shared" ref="T2:T3" si="5">M2/G2</f>
        <v>35.188459952866268</v>
      </c>
      <c r="U2" s="119">
        <f t="shared" ref="U2:U3" si="6">M2/G2*Q2</f>
        <v>0</v>
      </c>
      <c r="V2" s="119">
        <f>SUMIF($F$2:F2,F2,$U$2:U2)</f>
        <v>0</v>
      </c>
      <c r="W2" s="120">
        <f t="shared" ref="W2:W3" si="7">IFERROR(T2/(24*N2),"")</f>
        <v>0.18279567521966711</v>
      </c>
      <c r="X2" s="120" t="str">
        <f t="shared" ref="X2:X33" si="8">IFERROR(U2/(24*N2*Q2),"")</f>
        <v/>
      </c>
      <c r="Y2" s="120" t="str">
        <f t="shared" ref="Y2:Y65" si="9">IFERROR(V2/(24*N2*SUMIFS($Q:$Q,$F:$F,$F2,$D:$D,"&lt;="&amp;D2)),"")</f>
        <v/>
      </c>
      <c r="Z2" s="118" t="str">
        <f>IFERROR(AVERAGEIF('Daily KPI'!$D:$D,Table14[[#This Row],[Month]],'Daily KPI'!$AB:$AB),"")</f>
        <v/>
      </c>
      <c r="AA2" s="121">
        <f>IFERROR(AVERAGEIF($F$2:F2,F2,$N$2:N2),"")</f>
        <v>8.0208999999999993</v>
      </c>
      <c r="AB2" s="119"/>
      <c r="AC2" s="118"/>
      <c r="AD2" s="118"/>
      <c r="AE2" s="120">
        <v>0.98040000000000005</v>
      </c>
      <c r="AF2" s="120">
        <v>0.98</v>
      </c>
      <c r="AG2" s="120"/>
      <c r="AH2" s="120"/>
      <c r="AI2" s="120"/>
      <c r="AJ2" s="120"/>
      <c r="AK2" s="120"/>
      <c r="AL2" s="120"/>
      <c r="AM2" s="134"/>
      <c r="AN2" s="134"/>
      <c r="AO2" s="112">
        <v>8</v>
      </c>
    </row>
    <row r="3" spans="1:44" x14ac:dyDescent="0.3">
      <c r="A3" s="113">
        <f t="shared" ref="A3:A66" si="10">A2+1</f>
        <v>2</v>
      </c>
      <c r="B3" s="113" t="s">
        <v>1153</v>
      </c>
      <c r="C3" s="112">
        <v>5</v>
      </c>
      <c r="D3" s="114">
        <v>43221</v>
      </c>
      <c r="E3" s="122">
        <f t="shared" si="0"/>
        <v>2018</v>
      </c>
      <c r="F3" s="115" t="s">
        <v>1152</v>
      </c>
      <c r="G3" s="123">
        <f t="shared" si="1"/>
        <v>31</v>
      </c>
      <c r="H3" s="121">
        <v>198.6</v>
      </c>
      <c r="I3" s="121">
        <v>186.4</v>
      </c>
      <c r="J3" s="124"/>
      <c r="K3" s="121"/>
      <c r="L3" s="123"/>
      <c r="M3" s="125">
        <v>1060.9585915437065</v>
      </c>
      <c r="N3" s="119">
        <v>8.0208999999999993</v>
      </c>
      <c r="O3" s="126">
        <f t="shared" si="2"/>
        <v>0.70962584466409462</v>
      </c>
      <c r="P3" s="124">
        <f t="shared" si="3"/>
        <v>6.0129032258064514</v>
      </c>
      <c r="Q3" s="123">
        <f>COUNTIFS('Daily KPI'!$D:$D,D3,'Daily KPI'!$O:$O,"&gt;0")</f>
        <v>0</v>
      </c>
      <c r="R3" s="125">
        <f t="shared" si="4"/>
        <v>0</v>
      </c>
      <c r="S3" s="125">
        <f>SUMIF($F$2:F3,F3,$R$2:R3)</f>
        <v>0</v>
      </c>
      <c r="T3" s="124">
        <f t="shared" si="5"/>
        <v>34.224470694958271</v>
      </c>
      <c r="U3" s="125">
        <f t="shared" si="6"/>
        <v>0</v>
      </c>
      <c r="V3" s="125">
        <f>SUMIF($F$2:F3,F3,$U$2:U3)</f>
        <v>0</v>
      </c>
      <c r="W3" s="126">
        <f t="shared" si="7"/>
        <v>0.17778798043734842</v>
      </c>
      <c r="X3" s="126" t="str">
        <f t="shared" si="8"/>
        <v/>
      </c>
      <c r="Y3" s="126" t="str">
        <f t="shared" si="9"/>
        <v/>
      </c>
      <c r="Z3" s="124" t="str">
        <f>IFERROR(AVERAGEIF('Daily KPI'!$D:$D,Table14[[#This Row],[Month]],'Daily KPI'!$AB:$AB),"")</f>
        <v/>
      </c>
      <c r="AA3" s="117">
        <f>IFERROR(AVERAGEIF($F$2:F3,F3,$N$2:N3),"")</f>
        <v>8.0208999999999993</v>
      </c>
      <c r="AB3" s="125"/>
      <c r="AC3" s="124"/>
      <c r="AD3" s="124"/>
      <c r="AE3" s="120">
        <v>0.98040000000000005</v>
      </c>
      <c r="AF3" s="120">
        <v>0.98</v>
      </c>
      <c r="AG3" s="120"/>
      <c r="AH3" s="126"/>
      <c r="AI3" s="126"/>
      <c r="AJ3" s="126"/>
      <c r="AK3" s="126"/>
      <c r="AL3" s="126"/>
      <c r="AM3" s="133"/>
      <c r="AN3" s="133"/>
      <c r="AO3" s="112">
        <v>8</v>
      </c>
    </row>
    <row r="4" spans="1:44" x14ac:dyDescent="0.3">
      <c r="A4" s="112">
        <f t="shared" si="10"/>
        <v>3</v>
      </c>
      <c r="B4" s="113" t="s">
        <v>1154</v>
      </c>
      <c r="C4" s="112">
        <v>6</v>
      </c>
      <c r="D4" s="114">
        <v>43252</v>
      </c>
      <c r="E4" s="115">
        <f>YEAR(D4)</f>
        <v>2018</v>
      </c>
      <c r="F4" s="115" t="s">
        <v>1152</v>
      </c>
      <c r="G4" s="116">
        <f>DAY(EOMONTH(D4,0))</f>
        <v>30</v>
      </c>
      <c r="H4" s="121">
        <v>154.80000000000001</v>
      </c>
      <c r="I4" s="121">
        <v>142.80000000000001</v>
      </c>
      <c r="J4" s="118"/>
      <c r="K4" s="121"/>
      <c r="L4" s="116"/>
      <c r="M4" s="119">
        <v>790.41415070006133</v>
      </c>
      <c r="N4" s="119">
        <v>8.0208999999999993</v>
      </c>
      <c r="O4" s="120">
        <f>IFERROR(M4/I4/N4,"")</f>
        <v>0.6900862870925315</v>
      </c>
      <c r="P4" s="118">
        <f>IFERROR(I4/G4,"")</f>
        <v>4.7600000000000007</v>
      </c>
      <c r="Q4" s="116">
        <f>COUNTIFS('Daily KPI'!$D:$D,D4,'Daily KPI'!$O:$O,"&gt;0")</f>
        <v>0</v>
      </c>
      <c r="R4" s="119">
        <f>I4/G4*Q4</f>
        <v>0</v>
      </c>
      <c r="S4" s="119">
        <f>SUMIF($F$4:F4,F4,$R$4:R4)</f>
        <v>0</v>
      </c>
      <c r="T4" s="118">
        <f>M4/G4</f>
        <v>26.347138356668712</v>
      </c>
      <c r="U4" s="119">
        <f>M4/G4*Q4</f>
        <v>0</v>
      </c>
      <c r="V4" s="119">
        <f>SUMIF($F$4:F4,F4,$U$4:U4)</f>
        <v>0</v>
      </c>
      <c r="W4" s="120">
        <f>IFERROR(T4/(24*N4),"")</f>
        <v>0.13686711360668541</v>
      </c>
      <c r="X4" s="120" t="str">
        <f t="shared" si="8"/>
        <v/>
      </c>
      <c r="Y4" s="120" t="str">
        <f t="shared" si="9"/>
        <v/>
      </c>
      <c r="Z4" s="118" t="str">
        <f>IFERROR(AVERAGEIF('Daily KPI'!$D:$D,Table14[[#This Row],[Month]],'Daily KPI'!$AB:$AB),"")</f>
        <v/>
      </c>
      <c r="AA4" s="121">
        <f>IFERROR(AVERAGEIF($F$4:F4,F4,$N$4:N4),"")</f>
        <v>8.0208999999999993</v>
      </c>
      <c r="AB4" s="119"/>
      <c r="AC4" s="118"/>
      <c r="AD4" s="118"/>
      <c r="AE4" s="120">
        <v>0.98040000000000005</v>
      </c>
      <c r="AF4" s="120">
        <v>0.98</v>
      </c>
      <c r="AG4" s="120"/>
      <c r="AH4" s="120"/>
      <c r="AI4" s="120"/>
      <c r="AJ4" s="120"/>
      <c r="AK4" s="120"/>
      <c r="AL4" s="120"/>
      <c r="AM4" s="133"/>
      <c r="AN4" s="133"/>
      <c r="AO4" s="112">
        <v>8</v>
      </c>
    </row>
    <row r="5" spans="1:44" x14ac:dyDescent="0.3">
      <c r="A5" s="113">
        <f t="shared" si="10"/>
        <v>4</v>
      </c>
      <c r="B5" s="113" t="s">
        <v>1155</v>
      </c>
      <c r="C5" s="112">
        <v>7</v>
      </c>
      <c r="D5" s="114">
        <v>43282</v>
      </c>
      <c r="E5" s="122">
        <f>YEAR(D5)</f>
        <v>2018</v>
      </c>
      <c r="F5" s="115" t="s">
        <v>1152</v>
      </c>
      <c r="G5" s="123">
        <f>DAY(EOMONTH(D5,0))</f>
        <v>31</v>
      </c>
      <c r="H5" s="121">
        <v>134.4</v>
      </c>
      <c r="I5" s="121">
        <v>125.4</v>
      </c>
      <c r="J5" s="124"/>
      <c r="K5" s="121"/>
      <c r="L5" s="123"/>
      <c r="M5" s="125">
        <v>721.45184224972047</v>
      </c>
      <c r="N5" s="119">
        <v>8.0208999999999993</v>
      </c>
      <c r="O5" s="126">
        <f>IFERROR(M5/I5/N5,"")</f>
        <v>0.71727667514245075</v>
      </c>
      <c r="P5" s="124">
        <f>IFERROR(I5/G5,"")</f>
        <v>4.0451612903225804</v>
      </c>
      <c r="Q5" s="123">
        <f>COUNTIFS('Daily KPI'!$D:$D,D5,'Daily KPI'!$O:$O,"&gt;0")</f>
        <v>0</v>
      </c>
      <c r="R5" s="125">
        <f>I5/G5*Q5</f>
        <v>0</v>
      </c>
      <c r="S5" s="125">
        <f>SUMIF($F$5:F5,F5,$R$5:R5)</f>
        <v>0</v>
      </c>
      <c r="T5" s="124">
        <f>M5/G5</f>
        <v>23.27264007257163</v>
      </c>
      <c r="U5" s="125">
        <f>M5/G5*Q5</f>
        <v>0</v>
      </c>
      <c r="V5" s="125">
        <f>SUMIF($F$5:F5,F5,$U$5:U5)</f>
        <v>0</v>
      </c>
      <c r="W5" s="126">
        <f>IFERROR(T5/(24*N5),"")</f>
        <v>0.12089582669739696</v>
      </c>
      <c r="X5" s="126" t="str">
        <f t="shared" si="8"/>
        <v/>
      </c>
      <c r="Y5" s="126" t="str">
        <f t="shared" si="9"/>
        <v/>
      </c>
      <c r="Z5" s="124" t="str">
        <f>IFERROR(AVERAGEIF('Daily KPI'!$D:$D,Table14[[#This Row],[Month]],'Daily KPI'!$AB:$AB),"")</f>
        <v/>
      </c>
      <c r="AA5" s="117">
        <f>IFERROR(AVERAGEIF($F$5:F5,F5,$N$5:N5),"")</f>
        <v>8.0208999999999993</v>
      </c>
      <c r="AB5" s="125"/>
      <c r="AC5" s="124"/>
      <c r="AD5" s="124"/>
      <c r="AE5" s="120">
        <v>0.98040000000000005</v>
      </c>
      <c r="AF5" s="120">
        <v>0.98</v>
      </c>
      <c r="AG5" s="120"/>
      <c r="AH5" s="126"/>
      <c r="AI5" s="126"/>
      <c r="AJ5" s="126"/>
      <c r="AK5" s="126"/>
      <c r="AL5" s="126"/>
      <c r="AM5" s="133"/>
      <c r="AN5" s="133"/>
      <c r="AO5" s="112">
        <v>8</v>
      </c>
    </row>
    <row r="6" spans="1:44" x14ac:dyDescent="0.3">
      <c r="A6" s="112">
        <f t="shared" si="10"/>
        <v>5</v>
      </c>
      <c r="B6" s="113" t="s">
        <v>1156</v>
      </c>
      <c r="C6" s="112">
        <v>8</v>
      </c>
      <c r="D6" s="114">
        <v>43313</v>
      </c>
      <c r="E6" s="115">
        <f t="shared" ref="E6:E13" si="11">YEAR(D6)</f>
        <v>2018</v>
      </c>
      <c r="F6" s="115" t="s">
        <v>1152</v>
      </c>
      <c r="G6" s="116">
        <f t="shared" ref="G6:G13" si="12">DAY(EOMONTH(D6,0))</f>
        <v>31</v>
      </c>
      <c r="H6" s="121">
        <v>134.6</v>
      </c>
      <c r="I6" s="121">
        <v>130.69999999999999</v>
      </c>
      <c r="J6" s="118"/>
      <c r="K6" s="121"/>
      <c r="L6" s="116"/>
      <c r="M6" s="119">
        <v>763.89018591146873</v>
      </c>
      <c r="N6" s="119">
        <v>8.0208999999999993</v>
      </c>
      <c r="O6" s="120">
        <f t="shared" ref="O6:O69" si="13">IFERROR(M6/I6/N6,"")</f>
        <v>0.72867226748797886</v>
      </c>
      <c r="P6" s="118">
        <f t="shared" ref="P6:P69" si="14">IFERROR(I6/G6,"")</f>
        <v>4.2161290322580642</v>
      </c>
      <c r="Q6" s="116">
        <f>COUNTIFS('Daily KPI'!$D:$D,D6,'Daily KPI'!$O:$O,"&gt;0")</f>
        <v>0</v>
      </c>
      <c r="R6" s="119">
        <f t="shared" ref="R6:R69" si="15">I6/G6*Q6</f>
        <v>0</v>
      </c>
      <c r="S6" s="119">
        <f>SUMIF($F$6:F6,F6,$R$6:R6)</f>
        <v>0</v>
      </c>
      <c r="T6" s="118">
        <f t="shared" ref="T6:T69" si="16">M6/G6</f>
        <v>24.641618900369959</v>
      </c>
      <c r="U6" s="119">
        <f t="shared" ref="U6:U69" si="17">M6/G6*Q6</f>
        <v>0</v>
      </c>
      <c r="V6" s="119">
        <f>SUMIF($F$6:F6,F6,$U$6:U6)</f>
        <v>0</v>
      </c>
      <c r="W6" s="120">
        <f t="shared" ref="W6:W69" si="18">IFERROR(T6/(24*N6),"")</f>
        <v>0.12800734591489088</v>
      </c>
      <c r="X6" s="120" t="str">
        <f t="shared" si="8"/>
        <v/>
      </c>
      <c r="Y6" s="120" t="str">
        <f t="shared" si="9"/>
        <v/>
      </c>
      <c r="Z6" s="118" t="str">
        <f>IFERROR(AVERAGEIF('Daily KPI'!$D:$D,Table14[[#This Row],[Month]],'Daily KPI'!$AB:$AB),"")</f>
        <v/>
      </c>
      <c r="AA6" s="121">
        <f>IFERROR(AVERAGEIF($F$6:F6,F6,$N$6:N6),"")</f>
        <v>8.0208999999999993</v>
      </c>
      <c r="AB6" s="119"/>
      <c r="AC6" s="118"/>
      <c r="AD6" s="118"/>
      <c r="AE6" s="120">
        <v>0.98040000000000005</v>
      </c>
      <c r="AF6" s="120">
        <v>0.98</v>
      </c>
      <c r="AG6" s="120"/>
      <c r="AH6" s="120"/>
      <c r="AI6" s="120"/>
      <c r="AJ6" s="120"/>
      <c r="AK6" s="120"/>
      <c r="AL6" s="120"/>
      <c r="AM6" s="133"/>
      <c r="AN6" s="133"/>
      <c r="AO6" s="112">
        <v>8</v>
      </c>
    </row>
    <row r="7" spans="1:44" x14ac:dyDescent="0.3">
      <c r="A7" s="112">
        <f t="shared" si="10"/>
        <v>6</v>
      </c>
      <c r="B7" s="113" t="s">
        <v>1157</v>
      </c>
      <c r="C7" s="112">
        <v>9</v>
      </c>
      <c r="D7" s="114">
        <v>43344</v>
      </c>
      <c r="E7" s="115">
        <f t="shared" si="11"/>
        <v>2018</v>
      </c>
      <c r="F7" s="115" t="s">
        <v>1152</v>
      </c>
      <c r="G7" s="123">
        <f t="shared" si="12"/>
        <v>30</v>
      </c>
      <c r="H7" s="121">
        <v>142.5</v>
      </c>
      <c r="I7" s="121">
        <v>145.4</v>
      </c>
      <c r="J7" s="118"/>
      <c r="K7" s="121"/>
      <c r="L7" s="116"/>
      <c r="M7" s="119">
        <v>827.54770140409107</v>
      </c>
      <c r="N7" s="119">
        <v>8.0208999999999993</v>
      </c>
      <c r="O7" s="120">
        <f t="shared" si="13"/>
        <v>0.70958680060111445</v>
      </c>
      <c r="P7" s="118">
        <f t="shared" si="14"/>
        <v>4.8466666666666667</v>
      </c>
      <c r="Q7" s="116">
        <f>COUNTIFS('Daily KPI'!$D:$D,D7,'Daily KPI'!$O:$O,"&gt;0")</f>
        <v>0</v>
      </c>
      <c r="R7" s="119">
        <f t="shared" si="15"/>
        <v>0</v>
      </c>
      <c r="S7" s="119">
        <f>SUMIF($F$6:F7,F7,$R$6:R7)</f>
        <v>0</v>
      </c>
      <c r="T7" s="118">
        <f t="shared" si="16"/>
        <v>27.58492338013637</v>
      </c>
      <c r="U7" s="119">
        <f t="shared" si="17"/>
        <v>0</v>
      </c>
      <c r="V7" s="119">
        <f>SUMIF($F$6:F7,F7,$U$6:U7)</f>
        <v>0</v>
      </c>
      <c r="W7" s="120">
        <f t="shared" si="18"/>
        <v>0.14329711223250285</v>
      </c>
      <c r="X7" s="120" t="str">
        <f t="shared" si="8"/>
        <v/>
      </c>
      <c r="Y7" s="120" t="str">
        <f t="shared" si="9"/>
        <v/>
      </c>
      <c r="Z7" s="118" t="str">
        <f>IFERROR(AVERAGEIF('Daily KPI'!$D:$D,Table14[[#This Row],[Month]],'Daily KPI'!$AB:$AB),"")</f>
        <v/>
      </c>
      <c r="AA7" s="121">
        <f>IFERROR(AVERAGEIF($F$6:F7,F7,$N$6:N7),"")</f>
        <v>8.0208999999999993</v>
      </c>
      <c r="AB7" s="119"/>
      <c r="AC7" s="118"/>
      <c r="AD7" s="118"/>
      <c r="AE7" s="120">
        <v>0.98040000000000005</v>
      </c>
      <c r="AF7" s="120">
        <v>0.98</v>
      </c>
      <c r="AG7" s="120"/>
      <c r="AH7" s="120"/>
      <c r="AI7" s="120"/>
      <c r="AJ7" s="120"/>
      <c r="AK7" s="120"/>
      <c r="AL7" s="120"/>
      <c r="AM7" s="133"/>
      <c r="AN7" s="133"/>
      <c r="AO7" s="112">
        <v>8</v>
      </c>
    </row>
    <row r="8" spans="1:44" x14ac:dyDescent="0.3">
      <c r="A8" s="113">
        <f t="shared" si="10"/>
        <v>7</v>
      </c>
      <c r="B8" s="113" t="s">
        <v>1158</v>
      </c>
      <c r="C8" s="112">
        <v>10</v>
      </c>
      <c r="D8" s="114">
        <v>43374</v>
      </c>
      <c r="E8" s="122">
        <f t="shared" si="11"/>
        <v>2018</v>
      </c>
      <c r="F8" s="115" t="s">
        <v>1152</v>
      </c>
      <c r="G8" s="116">
        <f t="shared" si="12"/>
        <v>31</v>
      </c>
      <c r="H8" s="121">
        <v>145.69999999999999</v>
      </c>
      <c r="I8" s="121">
        <v>158.80000000000001</v>
      </c>
      <c r="J8" s="124"/>
      <c r="K8" s="117"/>
      <c r="L8" s="123"/>
      <c r="M8" s="125">
        <v>938.9483535161803</v>
      </c>
      <c r="N8" s="119">
        <v>8.0208999999999993</v>
      </c>
      <c r="O8" s="126">
        <f t="shared" si="13"/>
        <v>0.73717076724916697</v>
      </c>
      <c r="P8" s="124">
        <f t="shared" si="14"/>
        <v>5.1225806451612907</v>
      </c>
      <c r="Q8" s="123">
        <f>COUNTIFS('Daily KPI'!$D:$D,D8,'Daily KPI'!$O:$O,"&gt;0")</f>
        <v>0</v>
      </c>
      <c r="R8" s="125">
        <f t="shared" si="15"/>
        <v>0</v>
      </c>
      <c r="S8" s="125">
        <f>SUMIF($F$6:F8,F8,$R$6:R8)</f>
        <v>0</v>
      </c>
      <c r="T8" s="124">
        <f t="shared" si="16"/>
        <v>30.288656565038075</v>
      </c>
      <c r="U8" s="125">
        <f t="shared" si="17"/>
        <v>0</v>
      </c>
      <c r="V8" s="125">
        <f>SUMIF($F$6:F8,F8,$U$6:U8)</f>
        <v>0</v>
      </c>
      <c r="W8" s="126">
        <f t="shared" si="18"/>
        <v>0.15734236268705337</v>
      </c>
      <c r="X8" s="126" t="str">
        <f t="shared" si="8"/>
        <v/>
      </c>
      <c r="Y8" s="126" t="str">
        <f t="shared" si="9"/>
        <v/>
      </c>
      <c r="Z8" s="124" t="str">
        <f>IFERROR(AVERAGEIF('Daily KPI'!$D:$D,Table14[[#This Row],[Month]],'Daily KPI'!$AB:$AB),"")</f>
        <v/>
      </c>
      <c r="AA8" s="117">
        <f>IFERROR(AVERAGEIF($F$6:F8,F8,$N$6:N8),"")</f>
        <v>8.0208999999999993</v>
      </c>
      <c r="AB8" s="125"/>
      <c r="AC8" s="124"/>
      <c r="AD8" s="124"/>
      <c r="AE8" s="120">
        <v>0.98040000000000005</v>
      </c>
      <c r="AF8" s="120">
        <v>0.98</v>
      </c>
      <c r="AG8" s="120"/>
      <c r="AH8" s="126"/>
      <c r="AI8" s="126"/>
      <c r="AJ8" s="126"/>
      <c r="AK8" s="126"/>
      <c r="AL8" s="126"/>
      <c r="AM8" s="133"/>
      <c r="AN8" s="133"/>
      <c r="AO8" s="112">
        <v>8</v>
      </c>
    </row>
    <row r="9" spans="1:44" x14ac:dyDescent="0.3">
      <c r="A9" s="112">
        <f t="shared" si="10"/>
        <v>8</v>
      </c>
      <c r="B9" s="113" t="s">
        <v>1159</v>
      </c>
      <c r="C9" s="112">
        <v>11</v>
      </c>
      <c r="D9" s="114">
        <v>43405</v>
      </c>
      <c r="E9" s="115">
        <f t="shared" si="11"/>
        <v>2018</v>
      </c>
      <c r="F9" s="115" t="s">
        <v>1152</v>
      </c>
      <c r="G9" s="116">
        <f t="shared" si="12"/>
        <v>30</v>
      </c>
      <c r="H9" s="121">
        <v>138.9</v>
      </c>
      <c r="I9" s="121">
        <v>163</v>
      </c>
      <c r="J9" s="118"/>
      <c r="K9" s="121"/>
      <c r="L9" s="116"/>
      <c r="M9" s="119">
        <v>944.25314647389882</v>
      </c>
      <c r="N9" s="119">
        <v>8.0208999999999993</v>
      </c>
      <c r="O9" s="120">
        <f t="shared" si="13"/>
        <v>0.7222336756220531</v>
      </c>
      <c r="P9" s="118">
        <f t="shared" si="14"/>
        <v>5.4333333333333336</v>
      </c>
      <c r="Q9" s="116">
        <f>COUNTIFS('Daily KPI'!$D:$D,D9,'Daily KPI'!$O:$O,"&gt;0")</f>
        <v>0</v>
      </c>
      <c r="R9" s="119">
        <f t="shared" si="15"/>
        <v>0</v>
      </c>
      <c r="S9" s="119">
        <f>SUMIF($F$6:F9,F9,$R$6:R9)</f>
        <v>0</v>
      </c>
      <c r="T9" s="118">
        <f t="shared" si="16"/>
        <v>31.475104882463295</v>
      </c>
      <c r="U9" s="119">
        <f t="shared" si="17"/>
        <v>0</v>
      </c>
      <c r="V9" s="119">
        <f>SUMIF($F$6:F9,F9,$U$6:U9)</f>
        <v>0</v>
      </c>
      <c r="W9" s="120">
        <f t="shared" si="18"/>
        <v>0.1635056793422148</v>
      </c>
      <c r="X9" s="120" t="str">
        <f t="shared" si="8"/>
        <v/>
      </c>
      <c r="Y9" s="120" t="str">
        <f t="shared" si="9"/>
        <v/>
      </c>
      <c r="Z9" s="118" t="str">
        <f>IFERROR(AVERAGEIF('Daily KPI'!$D:$D,Table14[[#This Row],[Month]],'Daily KPI'!$AB:$AB),"")</f>
        <v/>
      </c>
      <c r="AA9" s="121">
        <f>IFERROR(AVERAGEIF($F$6:F9,F9,$N$6:N9),"")</f>
        <v>8.0208999999999993</v>
      </c>
      <c r="AB9" s="119"/>
      <c r="AC9" s="118"/>
      <c r="AD9" s="118"/>
      <c r="AE9" s="120">
        <v>0.98040000000000005</v>
      </c>
      <c r="AF9" s="120">
        <v>0.98</v>
      </c>
      <c r="AG9" s="120"/>
      <c r="AH9" s="120"/>
      <c r="AI9" s="120"/>
      <c r="AJ9" s="120"/>
      <c r="AK9" s="120"/>
      <c r="AL9" s="120"/>
      <c r="AM9" s="133"/>
      <c r="AN9" s="133"/>
      <c r="AO9" s="112">
        <v>8</v>
      </c>
    </row>
    <row r="10" spans="1:44" x14ac:dyDescent="0.3">
      <c r="A10" s="113">
        <f t="shared" si="10"/>
        <v>9</v>
      </c>
      <c r="B10" s="113" t="s">
        <v>1160</v>
      </c>
      <c r="C10" s="112">
        <v>12</v>
      </c>
      <c r="D10" s="114">
        <v>43435</v>
      </c>
      <c r="E10" s="122">
        <f t="shared" si="11"/>
        <v>2018</v>
      </c>
      <c r="F10" s="115" t="s">
        <v>1152</v>
      </c>
      <c r="G10" s="123">
        <f t="shared" si="12"/>
        <v>31</v>
      </c>
      <c r="H10" s="121">
        <v>134.69999999999999</v>
      </c>
      <c r="I10" s="121">
        <v>163.69999999999999</v>
      </c>
      <c r="J10" s="124"/>
      <c r="K10" s="117"/>
      <c r="L10" s="123"/>
      <c r="M10" s="125">
        <v>981.38669717792857</v>
      </c>
      <c r="N10" s="119">
        <v>8.0208999999999993</v>
      </c>
      <c r="O10" s="126">
        <f t="shared" si="13"/>
        <v>0.74742631726929265</v>
      </c>
      <c r="P10" s="124">
        <f t="shared" si="14"/>
        <v>5.2806451612903222</v>
      </c>
      <c r="Q10" s="123">
        <f>COUNTIFS('Daily KPI'!$D:$D,D10,'Daily KPI'!$O:$O,"&gt;0")</f>
        <v>0</v>
      </c>
      <c r="R10" s="125">
        <f t="shared" si="15"/>
        <v>0</v>
      </c>
      <c r="S10" s="125">
        <f>SUMIF($F$6:F10,F10,$R$6:R10)</f>
        <v>0</v>
      </c>
      <c r="T10" s="124">
        <f t="shared" si="16"/>
        <v>31.657635392836404</v>
      </c>
      <c r="U10" s="125">
        <f t="shared" si="17"/>
        <v>0</v>
      </c>
      <c r="V10" s="125">
        <f>SUMIF($F$6:F10,F10,$U$6:U10)</f>
        <v>0</v>
      </c>
      <c r="W10" s="126">
        <f t="shared" si="18"/>
        <v>0.16445388190454732</v>
      </c>
      <c r="X10" s="126" t="str">
        <f t="shared" si="8"/>
        <v/>
      </c>
      <c r="Y10" s="126" t="str">
        <f t="shared" si="9"/>
        <v/>
      </c>
      <c r="Z10" s="124" t="str">
        <f>IFERROR(AVERAGEIF('Daily KPI'!$D:$D,Table14[[#This Row],[Month]],'Daily KPI'!$AB:$AB),"")</f>
        <v/>
      </c>
      <c r="AA10" s="117">
        <f>IFERROR(AVERAGEIF($F$6:F10,F10,$N$6:N10),"")</f>
        <v>8.0208999999999993</v>
      </c>
      <c r="AB10" s="125"/>
      <c r="AC10" s="124"/>
      <c r="AD10" s="124"/>
      <c r="AE10" s="120">
        <v>0.98040000000000005</v>
      </c>
      <c r="AF10" s="120">
        <v>0.98</v>
      </c>
      <c r="AG10" s="120"/>
      <c r="AH10" s="126"/>
      <c r="AI10" s="126"/>
      <c r="AJ10" s="126"/>
      <c r="AK10" s="126"/>
      <c r="AL10" s="126"/>
      <c r="AM10" s="133"/>
      <c r="AN10" s="133"/>
      <c r="AO10" s="112">
        <v>8</v>
      </c>
    </row>
    <row r="11" spans="1:44" x14ac:dyDescent="0.3">
      <c r="A11" s="112">
        <f t="shared" si="10"/>
        <v>10</v>
      </c>
      <c r="B11" s="113" t="s">
        <v>1161</v>
      </c>
      <c r="C11" s="112">
        <v>1</v>
      </c>
      <c r="D11" s="114">
        <v>43466</v>
      </c>
      <c r="E11" s="115">
        <f t="shared" si="11"/>
        <v>2019</v>
      </c>
      <c r="F11" s="115" t="s">
        <v>1152</v>
      </c>
      <c r="G11" s="116">
        <f t="shared" si="12"/>
        <v>31</v>
      </c>
      <c r="H11" s="121">
        <v>151.6</v>
      </c>
      <c r="I11" s="121">
        <v>183.9</v>
      </c>
      <c r="J11" s="118"/>
      <c r="K11" s="121"/>
      <c r="L11" s="116"/>
      <c r="M11" s="119">
        <v>1087.4825563322993</v>
      </c>
      <c r="N11" s="119">
        <v>8.0208999999999993</v>
      </c>
      <c r="O11" s="120">
        <f t="shared" si="13"/>
        <v>0.73725456161784642</v>
      </c>
      <c r="P11" s="118">
        <f t="shared" si="14"/>
        <v>5.9322580645161294</v>
      </c>
      <c r="Q11" s="116">
        <f>COUNTIFS('Daily KPI'!$D:$D,D11,'Daily KPI'!$O:$O,"&gt;0")</f>
        <v>0</v>
      </c>
      <c r="R11" s="119">
        <f t="shared" si="15"/>
        <v>0</v>
      </c>
      <c r="S11" s="119">
        <f>SUMIF($F$6:F11,F11,$R$6:R11)</f>
        <v>0</v>
      </c>
      <c r="T11" s="118">
        <f t="shared" si="16"/>
        <v>35.080082462332236</v>
      </c>
      <c r="U11" s="119">
        <f t="shared" si="17"/>
        <v>0</v>
      </c>
      <c r="V11" s="119">
        <f>SUMIF($F$6:F11,F11,$U$6:U11)</f>
        <v>0</v>
      </c>
      <c r="W11" s="120">
        <f t="shared" si="18"/>
        <v>0.18223267994828218</v>
      </c>
      <c r="X11" s="120" t="str">
        <f t="shared" si="8"/>
        <v/>
      </c>
      <c r="Y11" s="120" t="str">
        <f t="shared" si="9"/>
        <v/>
      </c>
      <c r="Z11" s="118" t="str">
        <f>IFERROR(AVERAGEIF('Daily KPI'!$D:$D,Table14[[#This Row],[Month]],'Daily KPI'!$AB:$AB),"")</f>
        <v/>
      </c>
      <c r="AA11" s="121">
        <f>IFERROR(AVERAGEIF($F$6:F11,F11,$N$6:N11),"")</f>
        <v>8.0208999999999993</v>
      </c>
      <c r="AB11" s="119"/>
      <c r="AC11" s="118"/>
      <c r="AD11" s="118"/>
      <c r="AE11" s="120">
        <v>0.98040000000000005</v>
      </c>
      <c r="AF11" s="120">
        <v>0.98</v>
      </c>
      <c r="AG11" s="120"/>
      <c r="AH11" s="120"/>
      <c r="AI11" s="120"/>
      <c r="AJ11" s="120"/>
      <c r="AK11" s="120"/>
      <c r="AL11" s="120"/>
      <c r="AM11" s="133"/>
      <c r="AN11" s="133"/>
      <c r="AO11" s="112">
        <v>8</v>
      </c>
    </row>
    <row r="12" spans="1:44" x14ac:dyDescent="0.3">
      <c r="A12" s="113">
        <f t="shared" si="10"/>
        <v>11</v>
      </c>
      <c r="B12" s="113" t="s">
        <v>1162</v>
      </c>
      <c r="C12" s="112">
        <v>2</v>
      </c>
      <c r="D12" s="114">
        <v>43497</v>
      </c>
      <c r="E12" s="122">
        <f t="shared" si="11"/>
        <v>2019</v>
      </c>
      <c r="F12" s="115" t="s">
        <v>1152</v>
      </c>
      <c r="G12" s="123">
        <f t="shared" si="12"/>
        <v>28</v>
      </c>
      <c r="H12" s="121">
        <v>159.9</v>
      </c>
      <c r="I12" s="121">
        <v>184</v>
      </c>
      <c r="J12" s="124"/>
      <c r="K12" s="117"/>
      <c r="L12" s="123"/>
      <c r="M12" s="125">
        <v>1038.6058690088</v>
      </c>
      <c r="N12" s="119">
        <v>8.0208999999999993</v>
      </c>
      <c r="O12" s="126">
        <f t="shared" si="13"/>
        <v>0.70373612863622048</v>
      </c>
      <c r="P12" s="124">
        <f t="shared" si="14"/>
        <v>6.5714285714285712</v>
      </c>
      <c r="Q12" s="123">
        <f>COUNTIFS('Daily KPI'!$D:$D,D12,'Daily KPI'!$O:$O,"&gt;0")</f>
        <v>0</v>
      </c>
      <c r="R12" s="125">
        <f t="shared" si="15"/>
        <v>0</v>
      </c>
      <c r="S12" s="125">
        <f>SUMIF($F$6:F12,F12,$R$6:R12)</f>
        <v>0</v>
      </c>
      <c r="T12" s="124">
        <f t="shared" si="16"/>
        <v>37.093066750314286</v>
      </c>
      <c r="U12" s="125">
        <f t="shared" si="17"/>
        <v>0</v>
      </c>
      <c r="V12" s="125">
        <f>SUMIF($F$6:F12,F12,$U$6:U12)</f>
        <v>0</v>
      </c>
      <c r="W12" s="126">
        <f t="shared" si="18"/>
        <v>0.19268965426944132</v>
      </c>
      <c r="X12" s="126" t="str">
        <f t="shared" si="8"/>
        <v/>
      </c>
      <c r="Y12" s="126" t="str">
        <f t="shared" si="9"/>
        <v/>
      </c>
      <c r="Z12" s="124" t="str">
        <f>IFERROR(AVERAGEIF('Daily KPI'!$D:$D,Table14[[#This Row],[Month]],'Daily KPI'!$AB:$AB),"")</f>
        <v/>
      </c>
      <c r="AA12" s="117">
        <f>IFERROR(AVERAGEIF($F$6:F12,F12,$N$6:N12),"")</f>
        <v>8.0208999999999993</v>
      </c>
      <c r="AB12" s="125"/>
      <c r="AC12" s="124"/>
      <c r="AD12" s="124"/>
      <c r="AE12" s="120">
        <v>0.98040000000000005</v>
      </c>
      <c r="AF12" s="120">
        <v>0.98</v>
      </c>
      <c r="AG12" s="120"/>
      <c r="AH12" s="126"/>
      <c r="AI12" s="126"/>
      <c r="AJ12" s="126"/>
      <c r="AK12" s="126"/>
      <c r="AL12" s="126"/>
      <c r="AM12" s="133"/>
      <c r="AN12" s="133"/>
      <c r="AO12" s="112">
        <v>8</v>
      </c>
    </row>
    <row r="13" spans="1:44" x14ac:dyDescent="0.3">
      <c r="A13" s="112">
        <f t="shared" si="10"/>
        <v>12</v>
      </c>
      <c r="B13" s="113" t="s">
        <v>1163</v>
      </c>
      <c r="C13" s="112">
        <v>3</v>
      </c>
      <c r="D13" s="114">
        <v>43525</v>
      </c>
      <c r="E13" s="115">
        <f t="shared" si="11"/>
        <v>2019</v>
      </c>
      <c r="F13" s="115" t="s">
        <v>1152</v>
      </c>
      <c r="G13" s="116">
        <f t="shared" si="12"/>
        <v>31</v>
      </c>
      <c r="H13" s="121">
        <v>197.2</v>
      </c>
      <c r="I13" s="121">
        <v>210.4</v>
      </c>
      <c r="J13" s="118"/>
      <c r="K13" s="121"/>
      <c r="L13" s="116"/>
      <c r="M13" s="119">
        <v>1204.1880014021069</v>
      </c>
      <c r="N13" s="119">
        <v>8.0208999999999993</v>
      </c>
      <c r="O13" s="120">
        <f t="shared" si="13"/>
        <v>0.71355172148533519</v>
      </c>
      <c r="P13" s="118">
        <f t="shared" si="14"/>
        <v>6.7870967741935484</v>
      </c>
      <c r="Q13" s="116">
        <f>COUNTIFS('Daily KPI'!$D:$D,D13,'Daily KPI'!$O:$O,"&gt;0")</f>
        <v>0</v>
      </c>
      <c r="R13" s="119">
        <f t="shared" si="15"/>
        <v>0</v>
      </c>
      <c r="S13" s="119">
        <f>SUMIF($F$6:F13,F13,$R$6:R13)</f>
        <v>0</v>
      </c>
      <c r="T13" s="118">
        <f t="shared" si="16"/>
        <v>38.844774238777646</v>
      </c>
      <c r="U13" s="119">
        <f t="shared" si="17"/>
        <v>0</v>
      </c>
      <c r="V13" s="119">
        <f>SUMIF($F$6:F13,F13,$U$6:U13)</f>
        <v>0</v>
      </c>
      <c r="W13" s="120">
        <f t="shared" si="18"/>
        <v>0.20178935779639051</v>
      </c>
      <c r="X13" s="120" t="str">
        <f t="shared" si="8"/>
        <v/>
      </c>
      <c r="Y13" s="120" t="str">
        <f t="shared" si="9"/>
        <v/>
      </c>
      <c r="Z13" s="118" t="str">
        <f>IFERROR(AVERAGEIF('Daily KPI'!$D:$D,Table14[[#This Row],[Month]],'Daily KPI'!$AB:$AB),"")</f>
        <v/>
      </c>
      <c r="AA13" s="121">
        <f>IFERROR(AVERAGEIF($F$6:F13,F13,$N$6:N13),"")</f>
        <v>8.0208999999999993</v>
      </c>
      <c r="AB13" s="119"/>
      <c r="AC13" s="118"/>
      <c r="AD13" s="118"/>
      <c r="AE13" s="120">
        <v>0.98040000000000005</v>
      </c>
      <c r="AF13" s="120">
        <v>0.98</v>
      </c>
      <c r="AG13" s="120"/>
      <c r="AH13" s="120"/>
      <c r="AI13" s="120"/>
      <c r="AJ13" s="120"/>
      <c r="AK13" s="120"/>
      <c r="AL13" s="120"/>
      <c r="AM13" s="133"/>
      <c r="AN13" s="133"/>
      <c r="AO13" s="112">
        <v>8</v>
      </c>
    </row>
    <row r="14" spans="1:44" x14ac:dyDescent="0.3">
      <c r="A14" s="113">
        <f t="shared" si="10"/>
        <v>13</v>
      </c>
      <c r="B14" s="113" t="str">
        <f>B2</f>
        <v>April</v>
      </c>
      <c r="C14" s="113">
        <f>C2</f>
        <v>4</v>
      </c>
      <c r="D14" s="114">
        <v>43556</v>
      </c>
      <c r="E14" s="122">
        <f>YEAR(D14)</f>
        <v>2019</v>
      </c>
      <c r="F14" s="115" t="s">
        <v>1164</v>
      </c>
      <c r="G14" s="123">
        <f>DAY(EOMONTH(D14,0))</f>
        <v>30</v>
      </c>
      <c r="H14" s="121">
        <f>H2</f>
        <v>193.6</v>
      </c>
      <c r="I14" s="121">
        <f>I2</f>
        <v>191.7</v>
      </c>
      <c r="J14" s="124"/>
      <c r="K14" s="117"/>
      <c r="L14" s="123"/>
      <c r="M14" s="125">
        <f>M2</f>
        <v>1055.6537985859879</v>
      </c>
      <c r="N14" s="119">
        <v>8.0208999999999993</v>
      </c>
      <c r="O14" s="126">
        <f t="shared" si="13"/>
        <v>0.68655652664663702</v>
      </c>
      <c r="P14" s="124">
        <f t="shared" si="14"/>
        <v>6.39</v>
      </c>
      <c r="Q14" s="123">
        <f>COUNTIFS('Daily KPI'!$D:$D,D14,'Daily KPI'!$O:$O,"&gt;0")</f>
        <v>0</v>
      </c>
      <c r="R14" s="125">
        <f t="shared" si="15"/>
        <v>0</v>
      </c>
      <c r="S14" s="125">
        <f>SUMIF($F$6:F14,F14,$R$6:R14)</f>
        <v>0</v>
      </c>
      <c r="T14" s="124">
        <f t="shared" si="16"/>
        <v>35.188459952866268</v>
      </c>
      <c r="U14" s="125">
        <f t="shared" si="17"/>
        <v>0</v>
      </c>
      <c r="V14" s="125">
        <f>SUMIF($F$6:F14,F14,$U$6:U14)</f>
        <v>0</v>
      </c>
      <c r="W14" s="126">
        <f t="shared" si="18"/>
        <v>0.18279567521966711</v>
      </c>
      <c r="X14" s="126" t="str">
        <f t="shared" si="8"/>
        <v/>
      </c>
      <c r="Y14" s="126" t="str">
        <f t="shared" si="9"/>
        <v/>
      </c>
      <c r="Z14" s="124" t="str">
        <f>IFERROR(AVERAGEIF('Daily KPI'!$D:$D,Table14[[#This Row],[Month]],'Daily KPI'!$AB:$AB),"")</f>
        <v/>
      </c>
      <c r="AA14" s="117">
        <f>IFERROR(AVERAGEIF($F$6:F14,F14,$N$6:N14),"")</f>
        <v>8.0208999999999993</v>
      </c>
      <c r="AB14" s="125"/>
      <c r="AC14" s="124"/>
      <c r="AD14" s="124"/>
      <c r="AE14" s="120">
        <v>0.98040000000000005</v>
      </c>
      <c r="AF14" s="120">
        <v>0.98</v>
      </c>
      <c r="AG14" s="120"/>
      <c r="AH14" s="126"/>
      <c r="AI14" s="126"/>
      <c r="AJ14" s="126"/>
      <c r="AK14" s="126"/>
      <c r="AL14" s="126"/>
      <c r="AM14" s="133"/>
      <c r="AN14" s="133"/>
      <c r="AO14" s="112">
        <v>8</v>
      </c>
    </row>
    <row r="15" spans="1:44" x14ac:dyDescent="0.3">
      <c r="A15" s="112">
        <f t="shared" si="10"/>
        <v>14</v>
      </c>
      <c r="B15" s="113" t="str">
        <f t="shared" ref="B15:C30" si="19">B3</f>
        <v>May</v>
      </c>
      <c r="C15" s="113">
        <f t="shared" si="19"/>
        <v>5</v>
      </c>
      <c r="D15" s="114">
        <v>43586</v>
      </c>
      <c r="E15" s="115">
        <f>YEAR(D15)</f>
        <v>2019</v>
      </c>
      <c r="F15" s="115" t="s">
        <v>1164</v>
      </c>
      <c r="G15" s="116">
        <f>DAY(EOMONTH(D15,0))</f>
        <v>31</v>
      </c>
      <c r="H15" s="121">
        <f t="shared" ref="H15:I30" si="20">H3</f>
        <v>198.6</v>
      </c>
      <c r="I15" s="121">
        <f t="shared" si="20"/>
        <v>186.4</v>
      </c>
      <c r="J15" s="118"/>
      <c r="K15" s="117"/>
      <c r="L15" s="116"/>
      <c r="M15" s="125">
        <f t="shared" ref="M15:M78" si="21">M3</f>
        <v>1060.9585915437065</v>
      </c>
      <c r="N15" s="119">
        <v>8.0208999999999993</v>
      </c>
      <c r="O15" s="120">
        <f t="shared" si="13"/>
        <v>0.70962584466409462</v>
      </c>
      <c r="P15" s="118">
        <f t="shared" si="14"/>
        <v>6.0129032258064514</v>
      </c>
      <c r="Q15" s="116">
        <f>COUNTIFS('Daily KPI'!$D:$D,D15,'Daily KPI'!$O:$O,"&gt;0")</f>
        <v>0</v>
      </c>
      <c r="R15" s="119">
        <f t="shared" si="15"/>
        <v>0</v>
      </c>
      <c r="S15" s="119">
        <f>SUMIF($F$6:F15,F15,$R$6:R15)</f>
        <v>0</v>
      </c>
      <c r="T15" s="118">
        <f t="shared" si="16"/>
        <v>34.224470694958271</v>
      </c>
      <c r="U15" s="119">
        <f t="shared" si="17"/>
        <v>0</v>
      </c>
      <c r="V15" s="119">
        <f>SUMIF($F$6:F15,F15,$U$6:U15)</f>
        <v>0</v>
      </c>
      <c r="W15" s="120">
        <f t="shared" si="18"/>
        <v>0.17778798043734842</v>
      </c>
      <c r="X15" s="120" t="str">
        <f t="shared" si="8"/>
        <v/>
      </c>
      <c r="Y15" s="120" t="str">
        <f t="shared" si="9"/>
        <v/>
      </c>
      <c r="Z15" s="118" t="str">
        <f>IFERROR(AVERAGEIF('Daily KPI'!$D:$D,Table14[[#This Row],[Month]],'Daily KPI'!$AB:$AB),"")</f>
        <v/>
      </c>
      <c r="AA15" s="121">
        <f>IFERROR(AVERAGEIF($F$6:F15,F15,$N$6:N15),"")</f>
        <v>8.0208999999999993</v>
      </c>
      <c r="AB15" s="119"/>
      <c r="AC15" s="118"/>
      <c r="AD15" s="118"/>
      <c r="AE15" s="120">
        <v>0.98040000000000005</v>
      </c>
      <c r="AF15" s="120">
        <v>0.98</v>
      </c>
      <c r="AG15" s="120"/>
      <c r="AH15" s="120"/>
      <c r="AI15" s="120"/>
      <c r="AJ15" s="120"/>
      <c r="AK15" s="120"/>
      <c r="AL15" s="120"/>
      <c r="AM15" s="133"/>
      <c r="AN15" s="133"/>
      <c r="AO15" s="112">
        <v>8</v>
      </c>
    </row>
    <row r="16" spans="1:44" x14ac:dyDescent="0.3">
      <c r="A16" s="112">
        <f t="shared" si="10"/>
        <v>15</v>
      </c>
      <c r="B16" s="113" t="str">
        <f t="shared" si="19"/>
        <v>June</v>
      </c>
      <c r="C16" s="113">
        <f t="shared" si="19"/>
        <v>6</v>
      </c>
      <c r="D16" s="114">
        <v>43617</v>
      </c>
      <c r="E16" s="115">
        <f t="shared" ref="E16:E79" si="22">YEAR(D16)</f>
        <v>2019</v>
      </c>
      <c r="F16" s="115" t="s">
        <v>1164</v>
      </c>
      <c r="G16" s="116">
        <f t="shared" ref="G16:G79" si="23">DAY(EOMONTH(D16,0))</f>
        <v>30</v>
      </c>
      <c r="H16" s="121">
        <f t="shared" si="20"/>
        <v>154.80000000000001</v>
      </c>
      <c r="I16" s="121">
        <f t="shared" si="20"/>
        <v>142.80000000000001</v>
      </c>
      <c r="J16" s="118"/>
      <c r="K16" s="117"/>
      <c r="L16" s="116"/>
      <c r="M16" s="125">
        <f t="shared" si="21"/>
        <v>790.41415070006133</v>
      </c>
      <c r="N16" s="119">
        <v>8.0208999999999993</v>
      </c>
      <c r="O16" s="120">
        <f t="shared" si="13"/>
        <v>0.6900862870925315</v>
      </c>
      <c r="P16" s="118">
        <f t="shared" si="14"/>
        <v>4.7600000000000007</v>
      </c>
      <c r="Q16" s="116">
        <f>COUNTIFS('Daily KPI'!$D:$D,D16,'Daily KPI'!$O:$O,"&gt;0")</f>
        <v>0</v>
      </c>
      <c r="R16" s="119">
        <f t="shared" si="15"/>
        <v>0</v>
      </c>
      <c r="S16" s="119">
        <f>SUMIF($F$6:F16,F16,$R$6:R16)</f>
        <v>0</v>
      </c>
      <c r="T16" s="118">
        <f t="shared" si="16"/>
        <v>26.347138356668712</v>
      </c>
      <c r="U16" s="119">
        <f t="shared" si="17"/>
        <v>0</v>
      </c>
      <c r="V16" s="119">
        <f>SUMIF($F$2:F97,F16,$U$2:U97)</f>
        <v>0</v>
      </c>
      <c r="W16" s="120">
        <f t="shared" si="18"/>
        <v>0.13686711360668541</v>
      </c>
      <c r="X16" s="120" t="str">
        <f t="shared" si="8"/>
        <v/>
      </c>
      <c r="Y16" s="120" t="str">
        <f t="shared" si="9"/>
        <v/>
      </c>
      <c r="Z16" s="118" t="str">
        <f>IFERROR(AVERAGEIF('Daily KPI'!$D:$D,Table14[[#This Row],[Month]],'Daily KPI'!$AB:$AB),"")</f>
        <v/>
      </c>
      <c r="AA16" s="121">
        <f>IFERROR(AVERAGEIF($F$6:F16,F16,$N$6:N16),"")</f>
        <v>8.0208999999999993</v>
      </c>
      <c r="AB16" s="119"/>
      <c r="AC16" s="118"/>
      <c r="AD16" s="118"/>
      <c r="AE16" s="120">
        <v>0.98040000000000005</v>
      </c>
      <c r="AF16" s="120">
        <v>0.98</v>
      </c>
      <c r="AG16" s="120"/>
      <c r="AH16" s="120"/>
      <c r="AI16" s="120"/>
      <c r="AJ16" s="120"/>
      <c r="AK16" s="120"/>
      <c r="AL16" s="120"/>
      <c r="AM16" s="133"/>
      <c r="AN16" s="133"/>
      <c r="AO16" s="112">
        <v>8</v>
      </c>
    </row>
    <row r="17" spans="1:41" x14ac:dyDescent="0.3">
      <c r="A17" s="112">
        <f t="shared" si="10"/>
        <v>16</v>
      </c>
      <c r="B17" s="113" t="str">
        <f t="shared" si="19"/>
        <v>July</v>
      </c>
      <c r="C17" s="113">
        <f t="shared" si="19"/>
        <v>7</v>
      </c>
      <c r="D17" s="114">
        <v>43647</v>
      </c>
      <c r="E17" s="115">
        <f t="shared" si="22"/>
        <v>2019</v>
      </c>
      <c r="F17" s="115" t="s">
        <v>1164</v>
      </c>
      <c r="G17" s="116">
        <f t="shared" si="23"/>
        <v>31</v>
      </c>
      <c r="H17" s="121">
        <f t="shared" si="20"/>
        <v>134.4</v>
      </c>
      <c r="I17" s="121">
        <f t="shared" si="20"/>
        <v>125.4</v>
      </c>
      <c r="J17" s="118"/>
      <c r="K17" s="117"/>
      <c r="L17" s="116"/>
      <c r="M17" s="125">
        <f t="shared" si="21"/>
        <v>721.45184224972047</v>
      </c>
      <c r="N17" s="119">
        <v>8.0208999999999993</v>
      </c>
      <c r="O17" s="120">
        <f t="shared" si="13"/>
        <v>0.71727667514245075</v>
      </c>
      <c r="P17" s="118">
        <f t="shared" si="14"/>
        <v>4.0451612903225804</v>
      </c>
      <c r="Q17" s="116">
        <f>COUNTIFS('Daily KPI'!$D:$D,D17,'Daily KPI'!$O:$O,"&gt;0")</f>
        <v>0</v>
      </c>
      <c r="R17" s="119">
        <f t="shared" si="15"/>
        <v>0</v>
      </c>
      <c r="S17" s="119">
        <f>SUMIF($F$2:F97,F17,$R$2:R97)</f>
        <v>0</v>
      </c>
      <c r="T17" s="118">
        <f t="shared" si="16"/>
        <v>23.27264007257163</v>
      </c>
      <c r="U17" s="119">
        <f t="shared" si="17"/>
        <v>0</v>
      </c>
      <c r="V17" s="119">
        <f>SUMIF($F$2:F97,F17,$U$2:U97)</f>
        <v>0</v>
      </c>
      <c r="W17" s="120">
        <f t="shared" si="18"/>
        <v>0.12089582669739696</v>
      </c>
      <c r="X17" s="120" t="str">
        <f t="shared" si="8"/>
        <v/>
      </c>
      <c r="Y17" s="120" t="str">
        <f t="shared" si="9"/>
        <v/>
      </c>
      <c r="Z17" s="118" t="str">
        <f>IFERROR(AVERAGEIF('Daily KPI'!$D:$D,Table14[[#This Row],[Month]],'Daily KPI'!$AB:$AB),"")</f>
        <v/>
      </c>
      <c r="AA17" s="121">
        <f>IFERROR(AVERAGEIF($F$2:F97,F17,$N$2:N97),"")</f>
        <v>8.0208999999999993</v>
      </c>
      <c r="AB17" s="119"/>
      <c r="AC17" s="118"/>
      <c r="AD17" s="118"/>
      <c r="AE17" s="120">
        <v>0.98040000000000005</v>
      </c>
      <c r="AF17" s="120">
        <v>0.98</v>
      </c>
      <c r="AG17" s="120"/>
      <c r="AH17" s="120"/>
      <c r="AI17" s="120"/>
      <c r="AJ17" s="120"/>
      <c r="AK17" s="120"/>
      <c r="AL17" s="120"/>
      <c r="AM17" s="133"/>
      <c r="AN17" s="133"/>
      <c r="AO17" s="112">
        <v>8</v>
      </c>
    </row>
    <row r="18" spans="1:41" x14ac:dyDescent="0.3">
      <c r="A18" s="112">
        <f t="shared" si="10"/>
        <v>17</v>
      </c>
      <c r="B18" s="113" t="str">
        <f t="shared" si="19"/>
        <v>August</v>
      </c>
      <c r="C18" s="113">
        <f t="shared" si="19"/>
        <v>8</v>
      </c>
      <c r="D18" s="114">
        <v>43678</v>
      </c>
      <c r="E18" s="115">
        <f t="shared" si="22"/>
        <v>2019</v>
      </c>
      <c r="F18" s="115" t="s">
        <v>1164</v>
      </c>
      <c r="G18" s="116">
        <f t="shared" si="23"/>
        <v>31</v>
      </c>
      <c r="H18" s="121">
        <f t="shared" si="20"/>
        <v>134.6</v>
      </c>
      <c r="I18" s="121">
        <f t="shared" si="20"/>
        <v>130.69999999999999</v>
      </c>
      <c r="J18" s="118"/>
      <c r="K18" s="117"/>
      <c r="L18" s="116"/>
      <c r="M18" s="125">
        <f t="shared" si="21"/>
        <v>763.89018591146873</v>
      </c>
      <c r="N18" s="119">
        <v>8.0208999999999993</v>
      </c>
      <c r="O18" s="120">
        <f t="shared" si="13"/>
        <v>0.72867226748797886</v>
      </c>
      <c r="P18" s="118">
        <f t="shared" si="14"/>
        <v>4.2161290322580642</v>
      </c>
      <c r="Q18" s="116">
        <f>COUNTIFS('Daily KPI'!$D:$D,D18,'Daily KPI'!$O:$O,"&gt;0")</f>
        <v>0</v>
      </c>
      <c r="R18" s="119">
        <f t="shared" si="15"/>
        <v>0</v>
      </c>
      <c r="S18" s="119">
        <f>SUMIF($F$6:F18,F18,$R$6:R18)</f>
        <v>0</v>
      </c>
      <c r="T18" s="118">
        <f t="shared" si="16"/>
        <v>24.641618900369959</v>
      </c>
      <c r="U18" s="119">
        <f t="shared" si="17"/>
        <v>0</v>
      </c>
      <c r="V18" s="119">
        <f>SUMIF($F$6:F18,F18,$U$6:U18)</f>
        <v>0</v>
      </c>
      <c r="W18" s="120">
        <f t="shared" si="18"/>
        <v>0.12800734591489088</v>
      </c>
      <c r="X18" s="120" t="str">
        <f t="shared" si="8"/>
        <v/>
      </c>
      <c r="Y18" s="120" t="str">
        <f t="shared" si="9"/>
        <v/>
      </c>
      <c r="Z18" s="118" t="str">
        <f>IFERROR(AVERAGEIF('Daily KPI'!$D:$D,Table14[[#This Row],[Month]],'Daily KPI'!$AB:$AB),"")</f>
        <v/>
      </c>
      <c r="AA18" s="121">
        <f>IFERROR(AVERAGEIF($F$6:F18,F18,$N$6:N18),"")</f>
        <v>8.0208999999999993</v>
      </c>
      <c r="AB18" s="119"/>
      <c r="AC18" s="118"/>
      <c r="AD18" s="118"/>
      <c r="AE18" s="120">
        <v>0.98040000000000005</v>
      </c>
      <c r="AF18" s="120">
        <v>0.98</v>
      </c>
      <c r="AG18" s="120"/>
      <c r="AH18" s="120"/>
      <c r="AI18" s="120"/>
      <c r="AJ18" s="120"/>
      <c r="AK18" s="120"/>
      <c r="AL18" s="120"/>
      <c r="AM18" s="133"/>
      <c r="AN18" s="133"/>
      <c r="AO18" s="112">
        <v>8</v>
      </c>
    </row>
    <row r="19" spans="1:41" x14ac:dyDescent="0.3">
      <c r="A19" s="112">
        <f t="shared" si="10"/>
        <v>18</v>
      </c>
      <c r="B19" s="113" t="str">
        <f t="shared" si="19"/>
        <v>September</v>
      </c>
      <c r="C19" s="113">
        <f t="shared" si="19"/>
        <v>9</v>
      </c>
      <c r="D19" s="114">
        <v>43709</v>
      </c>
      <c r="E19" s="115">
        <f t="shared" si="22"/>
        <v>2019</v>
      </c>
      <c r="F19" s="115" t="s">
        <v>1164</v>
      </c>
      <c r="G19" s="116">
        <f t="shared" si="23"/>
        <v>30</v>
      </c>
      <c r="H19" s="121">
        <f t="shared" si="20"/>
        <v>142.5</v>
      </c>
      <c r="I19" s="121">
        <f t="shared" si="20"/>
        <v>145.4</v>
      </c>
      <c r="J19" s="118"/>
      <c r="K19" s="117"/>
      <c r="L19" s="116"/>
      <c r="M19" s="125">
        <f t="shared" si="21"/>
        <v>827.54770140409107</v>
      </c>
      <c r="N19" s="119">
        <v>8.0208999999999993</v>
      </c>
      <c r="O19" s="120">
        <f t="shared" si="13"/>
        <v>0.70958680060111445</v>
      </c>
      <c r="P19" s="118">
        <f t="shared" si="14"/>
        <v>4.8466666666666667</v>
      </c>
      <c r="Q19" s="116">
        <f>COUNTIFS('Daily KPI'!$D:$D,D19,'Daily KPI'!$O:$O,"&gt;0")</f>
        <v>0</v>
      </c>
      <c r="R19" s="119">
        <f t="shared" si="15"/>
        <v>0</v>
      </c>
      <c r="S19" s="119">
        <f>SUMIF($F$6:F19,F19,$R$6:R19)</f>
        <v>0</v>
      </c>
      <c r="T19" s="118">
        <f t="shared" si="16"/>
        <v>27.58492338013637</v>
      </c>
      <c r="U19" s="119">
        <f t="shared" si="17"/>
        <v>0</v>
      </c>
      <c r="V19" s="119">
        <f>SUMIF($F$6:F19,F19,$U$6:U19)</f>
        <v>0</v>
      </c>
      <c r="W19" s="120">
        <f t="shared" si="18"/>
        <v>0.14329711223250285</v>
      </c>
      <c r="X19" s="120" t="str">
        <f t="shared" si="8"/>
        <v/>
      </c>
      <c r="Y19" s="120" t="str">
        <f t="shared" si="9"/>
        <v/>
      </c>
      <c r="Z19" s="118" t="str">
        <f>IFERROR(AVERAGEIF('Daily KPI'!$D:$D,Table14[[#This Row],[Month]],'Daily KPI'!$AB:$AB),"")</f>
        <v/>
      </c>
      <c r="AA19" s="121">
        <f>IFERROR(AVERAGEIF($F$6:F19,F19,$N$6:N19),"")</f>
        <v>8.0208999999999993</v>
      </c>
      <c r="AB19" s="119"/>
      <c r="AC19" s="118"/>
      <c r="AD19" s="118"/>
      <c r="AE19" s="120">
        <v>0.98040000000000005</v>
      </c>
      <c r="AF19" s="120">
        <v>0.98</v>
      </c>
      <c r="AG19" s="120"/>
      <c r="AH19" s="120"/>
      <c r="AI19" s="120"/>
      <c r="AJ19" s="120"/>
      <c r="AK19" s="120"/>
      <c r="AL19" s="120"/>
      <c r="AM19" s="133"/>
      <c r="AN19" s="133"/>
      <c r="AO19" s="112">
        <v>8</v>
      </c>
    </row>
    <row r="20" spans="1:41" x14ac:dyDescent="0.3">
      <c r="A20" s="112">
        <f t="shared" si="10"/>
        <v>19</v>
      </c>
      <c r="B20" s="113" t="str">
        <f t="shared" si="19"/>
        <v>October</v>
      </c>
      <c r="C20" s="113">
        <f t="shared" si="19"/>
        <v>10</v>
      </c>
      <c r="D20" s="114">
        <v>43739</v>
      </c>
      <c r="E20" s="115">
        <f t="shared" si="22"/>
        <v>2019</v>
      </c>
      <c r="F20" s="115" t="s">
        <v>1164</v>
      </c>
      <c r="G20" s="116">
        <f t="shared" si="23"/>
        <v>31</v>
      </c>
      <c r="H20" s="121">
        <f t="shared" si="20"/>
        <v>145.69999999999999</v>
      </c>
      <c r="I20" s="121">
        <f t="shared" si="20"/>
        <v>158.80000000000001</v>
      </c>
      <c r="J20" s="118"/>
      <c r="K20" s="117"/>
      <c r="L20" s="116"/>
      <c r="M20" s="125">
        <f t="shared" si="21"/>
        <v>938.9483535161803</v>
      </c>
      <c r="N20" s="119">
        <v>8.0208999999999993</v>
      </c>
      <c r="O20" s="120">
        <f t="shared" si="13"/>
        <v>0.73717076724916697</v>
      </c>
      <c r="P20" s="118">
        <f t="shared" si="14"/>
        <v>5.1225806451612907</v>
      </c>
      <c r="Q20" s="116">
        <f>COUNTIFS('Daily KPI'!$D:$D,D20,'Daily KPI'!$O:$O,"&gt;0")</f>
        <v>0</v>
      </c>
      <c r="R20" s="119">
        <f t="shared" si="15"/>
        <v>0</v>
      </c>
      <c r="S20" s="119">
        <f>SUMIF($F$6:F20,F20,$R$6:R20)</f>
        <v>0</v>
      </c>
      <c r="T20" s="118">
        <f t="shared" si="16"/>
        <v>30.288656565038075</v>
      </c>
      <c r="U20" s="119">
        <f t="shared" si="17"/>
        <v>0</v>
      </c>
      <c r="V20" s="119">
        <f>SUMIF($F$6:F20,F20,$U$6:U20)</f>
        <v>0</v>
      </c>
      <c r="W20" s="120">
        <f t="shared" si="18"/>
        <v>0.15734236268705337</v>
      </c>
      <c r="X20" s="120" t="str">
        <f t="shared" si="8"/>
        <v/>
      </c>
      <c r="Y20" s="120" t="str">
        <f t="shared" si="9"/>
        <v/>
      </c>
      <c r="Z20" s="118" t="str">
        <f>IFERROR(AVERAGEIF('Daily KPI'!$D:$D,Table14[[#This Row],[Month]],'Daily KPI'!$AB:$AB),"")</f>
        <v/>
      </c>
      <c r="AA20" s="121">
        <f>IFERROR(AVERAGEIF($F$6:F20,F20,$N$6:N20),"")</f>
        <v>8.0208999999999993</v>
      </c>
      <c r="AB20" s="119"/>
      <c r="AC20" s="118"/>
      <c r="AD20" s="118"/>
      <c r="AE20" s="120">
        <v>0.98040000000000005</v>
      </c>
      <c r="AF20" s="120">
        <v>0.98</v>
      </c>
      <c r="AG20" s="120"/>
      <c r="AH20" s="120"/>
      <c r="AI20" s="120"/>
      <c r="AJ20" s="120"/>
      <c r="AK20" s="120"/>
      <c r="AL20" s="120"/>
      <c r="AM20" s="133"/>
      <c r="AN20" s="133"/>
      <c r="AO20" s="112">
        <v>8</v>
      </c>
    </row>
    <row r="21" spans="1:41" x14ac:dyDescent="0.3">
      <c r="A21" s="112">
        <f t="shared" si="10"/>
        <v>20</v>
      </c>
      <c r="B21" s="113" t="str">
        <f t="shared" si="19"/>
        <v>November</v>
      </c>
      <c r="C21" s="113">
        <f t="shared" si="19"/>
        <v>11</v>
      </c>
      <c r="D21" s="114">
        <v>43770</v>
      </c>
      <c r="E21" s="115">
        <f t="shared" si="22"/>
        <v>2019</v>
      </c>
      <c r="F21" s="115" t="s">
        <v>1164</v>
      </c>
      <c r="G21" s="116">
        <f t="shared" si="23"/>
        <v>30</v>
      </c>
      <c r="H21" s="121">
        <f t="shared" si="20"/>
        <v>138.9</v>
      </c>
      <c r="I21" s="121">
        <f t="shared" si="20"/>
        <v>163</v>
      </c>
      <c r="J21" s="118"/>
      <c r="K21" s="117"/>
      <c r="L21" s="116"/>
      <c r="M21" s="125">
        <f t="shared" si="21"/>
        <v>944.25314647389882</v>
      </c>
      <c r="N21" s="119">
        <v>8.0208999999999993</v>
      </c>
      <c r="O21" s="120">
        <f t="shared" si="13"/>
        <v>0.7222336756220531</v>
      </c>
      <c r="P21" s="118">
        <f t="shared" si="14"/>
        <v>5.4333333333333336</v>
      </c>
      <c r="Q21" s="116">
        <f>COUNTIFS('Daily KPI'!$D:$D,D21,'Daily KPI'!$O:$O,"&gt;0")</f>
        <v>0</v>
      </c>
      <c r="R21" s="119">
        <f t="shared" si="15"/>
        <v>0</v>
      </c>
      <c r="S21" s="119">
        <f>SUMIF($F$6:F21,F21,$R$6:R21)</f>
        <v>0</v>
      </c>
      <c r="T21" s="118">
        <f t="shared" si="16"/>
        <v>31.475104882463295</v>
      </c>
      <c r="U21" s="119">
        <f t="shared" si="17"/>
        <v>0</v>
      </c>
      <c r="V21" s="119">
        <f>SUMIF($F$6:F21,F21,$U$6:U21)</f>
        <v>0</v>
      </c>
      <c r="W21" s="120">
        <f t="shared" si="18"/>
        <v>0.1635056793422148</v>
      </c>
      <c r="X21" s="120" t="str">
        <f t="shared" si="8"/>
        <v/>
      </c>
      <c r="Y21" s="120" t="str">
        <f t="shared" si="9"/>
        <v/>
      </c>
      <c r="Z21" s="118" t="str">
        <f>IFERROR(AVERAGEIF('Daily KPI'!$D:$D,Table14[[#This Row],[Month]],'Daily KPI'!$AB:$AB),"")</f>
        <v/>
      </c>
      <c r="AA21" s="121">
        <f>IFERROR(AVERAGEIF($F$6:F21,F21,$N$6:N21),"")</f>
        <v>8.0208999999999993</v>
      </c>
      <c r="AB21" s="119"/>
      <c r="AC21" s="118"/>
      <c r="AD21" s="118"/>
      <c r="AE21" s="120">
        <v>0.98040000000000005</v>
      </c>
      <c r="AF21" s="120">
        <v>0.98</v>
      </c>
      <c r="AG21" s="120"/>
      <c r="AH21" s="120"/>
      <c r="AI21" s="120"/>
      <c r="AJ21" s="120"/>
      <c r="AK21" s="120"/>
      <c r="AL21" s="120"/>
      <c r="AM21" s="133"/>
      <c r="AN21" s="133"/>
      <c r="AO21" s="112">
        <v>8</v>
      </c>
    </row>
    <row r="22" spans="1:41" x14ac:dyDescent="0.3">
      <c r="A22" s="112">
        <f t="shared" si="10"/>
        <v>21</v>
      </c>
      <c r="B22" s="113" t="str">
        <f t="shared" si="19"/>
        <v>December</v>
      </c>
      <c r="C22" s="113">
        <f t="shared" si="19"/>
        <v>12</v>
      </c>
      <c r="D22" s="114">
        <v>43800</v>
      </c>
      <c r="E22" s="115">
        <f t="shared" si="22"/>
        <v>2019</v>
      </c>
      <c r="F22" s="115" t="s">
        <v>1164</v>
      </c>
      <c r="G22" s="116">
        <f t="shared" si="23"/>
        <v>31</v>
      </c>
      <c r="H22" s="121">
        <f t="shared" si="20"/>
        <v>134.69999999999999</v>
      </c>
      <c r="I22" s="121">
        <f t="shared" si="20"/>
        <v>163.69999999999999</v>
      </c>
      <c r="J22" s="118"/>
      <c r="K22" s="117"/>
      <c r="L22" s="116"/>
      <c r="M22" s="125">
        <f t="shared" si="21"/>
        <v>981.38669717792857</v>
      </c>
      <c r="N22" s="119">
        <v>8.0208999999999993</v>
      </c>
      <c r="O22" s="120">
        <f t="shared" si="13"/>
        <v>0.74742631726929265</v>
      </c>
      <c r="P22" s="118">
        <f t="shared" si="14"/>
        <v>5.2806451612903222</v>
      </c>
      <c r="Q22" s="116">
        <f>COUNTIFS('Daily KPI'!$D:$D,D22,'Daily KPI'!$O:$O,"&gt;0")</f>
        <v>0</v>
      </c>
      <c r="R22" s="119">
        <f t="shared" si="15"/>
        <v>0</v>
      </c>
      <c r="S22" s="119">
        <f>SUMIF($F$6:F22,F22,$R$6:R22)</f>
        <v>0</v>
      </c>
      <c r="T22" s="118">
        <f t="shared" si="16"/>
        <v>31.657635392836404</v>
      </c>
      <c r="U22" s="119">
        <f t="shared" si="17"/>
        <v>0</v>
      </c>
      <c r="V22" s="119">
        <f>SUMIF($F$6:F22,F22,$U$6:U22)</f>
        <v>0</v>
      </c>
      <c r="W22" s="120">
        <f t="shared" si="18"/>
        <v>0.16445388190454732</v>
      </c>
      <c r="X22" s="120" t="str">
        <f t="shared" si="8"/>
        <v/>
      </c>
      <c r="Y22" s="120" t="str">
        <f t="shared" si="9"/>
        <v/>
      </c>
      <c r="Z22" s="118" t="str">
        <f>IFERROR(AVERAGEIF('Daily KPI'!$D:$D,Table14[[#This Row],[Month]],'Daily KPI'!$AB:$AB),"")</f>
        <v/>
      </c>
      <c r="AA22" s="121">
        <f>IFERROR(AVERAGEIF($F$6:F22,F22,$N$6:N22),"")</f>
        <v>8.0208999999999993</v>
      </c>
      <c r="AB22" s="119"/>
      <c r="AC22" s="118"/>
      <c r="AD22" s="118"/>
      <c r="AE22" s="120">
        <v>0.98040000000000005</v>
      </c>
      <c r="AF22" s="120">
        <v>0.98</v>
      </c>
      <c r="AG22" s="120"/>
      <c r="AH22" s="120"/>
      <c r="AI22" s="120"/>
      <c r="AJ22" s="120"/>
      <c r="AK22" s="120"/>
      <c r="AL22" s="120"/>
      <c r="AM22" s="133"/>
      <c r="AN22" s="133"/>
      <c r="AO22" s="112">
        <v>8</v>
      </c>
    </row>
    <row r="23" spans="1:41" x14ac:dyDescent="0.3">
      <c r="A23" s="112">
        <f t="shared" si="10"/>
        <v>22</v>
      </c>
      <c r="B23" s="113" t="str">
        <f t="shared" si="19"/>
        <v>January</v>
      </c>
      <c r="C23" s="113">
        <f t="shared" si="19"/>
        <v>1</v>
      </c>
      <c r="D23" s="114">
        <v>43831</v>
      </c>
      <c r="E23" s="115">
        <f t="shared" si="22"/>
        <v>2020</v>
      </c>
      <c r="F23" s="115" t="s">
        <v>1164</v>
      </c>
      <c r="G23" s="116">
        <f t="shared" si="23"/>
        <v>31</v>
      </c>
      <c r="H23" s="121">
        <f t="shared" si="20"/>
        <v>151.6</v>
      </c>
      <c r="I23" s="121">
        <f t="shared" si="20"/>
        <v>183.9</v>
      </c>
      <c r="J23" s="118"/>
      <c r="K23" s="117"/>
      <c r="L23" s="116"/>
      <c r="M23" s="125">
        <f t="shared" si="21"/>
        <v>1087.4825563322993</v>
      </c>
      <c r="N23" s="119">
        <v>8.0208999999999993</v>
      </c>
      <c r="O23" s="120">
        <f t="shared" si="13"/>
        <v>0.73725456161784642</v>
      </c>
      <c r="P23" s="118">
        <f t="shared" si="14"/>
        <v>5.9322580645161294</v>
      </c>
      <c r="Q23" s="116">
        <f>COUNTIFS('Daily KPI'!$D:$D,D23,'Daily KPI'!$O:$O,"&gt;0")</f>
        <v>0</v>
      </c>
      <c r="R23" s="119">
        <f t="shared" si="15"/>
        <v>0</v>
      </c>
      <c r="S23" s="119">
        <f>SUMIF($F$6:F23,F23,$R$6:R23)</f>
        <v>0</v>
      </c>
      <c r="T23" s="118">
        <f t="shared" si="16"/>
        <v>35.080082462332236</v>
      </c>
      <c r="U23" s="119">
        <f t="shared" si="17"/>
        <v>0</v>
      </c>
      <c r="V23" s="119">
        <f>SUMIF($F$6:F23,F23,$U$6:U23)</f>
        <v>0</v>
      </c>
      <c r="W23" s="120">
        <f t="shared" si="18"/>
        <v>0.18223267994828218</v>
      </c>
      <c r="X23" s="120" t="str">
        <f t="shared" si="8"/>
        <v/>
      </c>
      <c r="Y23" s="120" t="str">
        <f t="shared" si="9"/>
        <v/>
      </c>
      <c r="Z23" s="118" t="str">
        <f>IFERROR(AVERAGEIF('Daily KPI'!$D:$D,Table14[[#This Row],[Month]],'Daily KPI'!$AB:$AB),"")</f>
        <v/>
      </c>
      <c r="AA23" s="121">
        <f>IFERROR(AVERAGEIF($F$6:F23,F23,$N$6:N23),"")</f>
        <v>8.0208999999999993</v>
      </c>
      <c r="AB23" s="119"/>
      <c r="AC23" s="118"/>
      <c r="AD23" s="118"/>
      <c r="AE23" s="120">
        <v>0.98040000000000005</v>
      </c>
      <c r="AF23" s="120">
        <v>0.98</v>
      </c>
      <c r="AG23" s="120"/>
      <c r="AH23" s="120"/>
      <c r="AI23" s="120"/>
      <c r="AJ23" s="120"/>
      <c r="AK23" s="120"/>
      <c r="AL23" s="120"/>
      <c r="AM23" s="133"/>
      <c r="AN23" s="133"/>
      <c r="AO23" s="112">
        <v>8</v>
      </c>
    </row>
    <row r="24" spans="1:41" x14ac:dyDescent="0.3">
      <c r="A24" s="112">
        <f t="shared" si="10"/>
        <v>23</v>
      </c>
      <c r="B24" s="113" t="str">
        <f t="shared" si="19"/>
        <v>February</v>
      </c>
      <c r="C24" s="113">
        <f t="shared" si="19"/>
        <v>2</v>
      </c>
      <c r="D24" s="114">
        <v>43862</v>
      </c>
      <c r="E24" s="115">
        <f t="shared" si="22"/>
        <v>2020</v>
      </c>
      <c r="F24" s="115" t="s">
        <v>1164</v>
      </c>
      <c r="G24" s="116">
        <f t="shared" si="23"/>
        <v>29</v>
      </c>
      <c r="H24" s="121">
        <f t="shared" si="20"/>
        <v>159.9</v>
      </c>
      <c r="I24" s="121">
        <f t="shared" si="20"/>
        <v>184</v>
      </c>
      <c r="J24" s="118"/>
      <c r="K24" s="117"/>
      <c r="L24" s="116"/>
      <c r="M24" s="125">
        <f t="shared" si="21"/>
        <v>1038.6058690088</v>
      </c>
      <c r="N24" s="119">
        <v>8.0208999999999993</v>
      </c>
      <c r="O24" s="120">
        <f t="shared" si="13"/>
        <v>0.70373612863622048</v>
      </c>
      <c r="P24" s="118">
        <f t="shared" si="14"/>
        <v>6.3448275862068968</v>
      </c>
      <c r="Q24" s="116">
        <f>COUNTIFS('Daily KPI'!$D:$D,D24,'Daily KPI'!$O:$O,"&gt;0")</f>
        <v>0</v>
      </c>
      <c r="R24" s="119">
        <f t="shared" si="15"/>
        <v>0</v>
      </c>
      <c r="S24" s="119">
        <f>SUMIF($F$6:F24,F24,$R$6:R24)</f>
        <v>0</v>
      </c>
      <c r="T24" s="118">
        <f t="shared" si="16"/>
        <v>35.813995483062072</v>
      </c>
      <c r="U24" s="119">
        <f t="shared" si="17"/>
        <v>0</v>
      </c>
      <c r="V24" s="119">
        <f>SUMIF($F$6:F24,F24,$U$6:U24)</f>
        <v>0</v>
      </c>
      <c r="W24" s="120">
        <f t="shared" si="18"/>
        <v>0.18604518343256407</v>
      </c>
      <c r="X24" s="120" t="str">
        <f t="shared" si="8"/>
        <v/>
      </c>
      <c r="Y24" s="120" t="str">
        <f t="shared" si="9"/>
        <v/>
      </c>
      <c r="Z24" s="118" t="str">
        <f>IFERROR(AVERAGEIF('Daily KPI'!$D:$D,Table14[[#This Row],[Month]],'Daily KPI'!$AB:$AB),"")</f>
        <v/>
      </c>
      <c r="AA24" s="121">
        <f>IFERROR(AVERAGEIF($F$6:F24,F24,$N$6:N24),"")</f>
        <v>8.0208999999999993</v>
      </c>
      <c r="AB24" s="119"/>
      <c r="AC24" s="118"/>
      <c r="AD24" s="118"/>
      <c r="AE24" s="120">
        <v>0.98040000000000005</v>
      </c>
      <c r="AF24" s="120">
        <v>0.98</v>
      </c>
      <c r="AG24" s="120"/>
      <c r="AH24" s="120"/>
      <c r="AI24" s="120"/>
      <c r="AJ24" s="120"/>
      <c r="AK24" s="120"/>
      <c r="AL24" s="120"/>
      <c r="AM24" s="133"/>
      <c r="AN24" s="133"/>
      <c r="AO24" s="112">
        <v>8</v>
      </c>
    </row>
    <row r="25" spans="1:41" x14ac:dyDescent="0.3">
      <c r="A25" s="112">
        <f t="shared" si="10"/>
        <v>24</v>
      </c>
      <c r="B25" s="113" t="str">
        <f t="shared" si="19"/>
        <v>March</v>
      </c>
      <c r="C25" s="113">
        <f t="shared" si="19"/>
        <v>3</v>
      </c>
      <c r="D25" s="114">
        <v>43891</v>
      </c>
      <c r="E25" s="115">
        <f t="shared" si="22"/>
        <v>2020</v>
      </c>
      <c r="F25" s="115" t="s">
        <v>1164</v>
      </c>
      <c r="G25" s="116">
        <f t="shared" si="23"/>
        <v>31</v>
      </c>
      <c r="H25" s="121">
        <f t="shared" si="20"/>
        <v>197.2</v>
      </c>
      <c r="I25" s="121">
        <f t="shared" si="20"/>
        <v>210.4</v>
      </c>
      <c r="J25" s="118"/>
      <c r="K25" s="117"/>
      <c r="L25" s="116"/>
      <c r="M25" s="125">
        <f t="shared" si="21"/>
        <v>1204.1880014021069</v>
      </c>
      <c r="N25" s="119">
        <v>8.0208999999999993</v>
      </c>
      <c r="O25" s="120">
        <f t="shared" si="13"/>
        <v>0.71355172148533519</v>
      </c>
      <c r="P25" s="118">
        <f t="shared" si="14"/>
        <v>6.7870967741935484</v>
      </c>
      <c r="Q25" s="116">
        <f>COUNTIFS('Daily KPI'!$D:$D,D25,'Daily KPI'!$O:$O,"&gt;0")</f>
        <v>0</v>
      </c>
      <c r="R25" s="119">
        <f t="shared" si="15"/>
        <v>0</v>
      </c>
      <c r="S25" s="119">
        <f>SUMIF($F$6:F25,F25,$R$6:R25)</f>
        <v>0</v>
      </c>
      <c r="T25" s="118">
        <f t="shared" si="16"/>
        <v>38.844774238777646</v>
      </c>
      <c r="U25" s="119">
        <f t="shared" si="17"/>
        <v>0</v>
      </c>
      <c r="V25" s="119">
        <f>SUMIF($F$6:F25,F25,$U$6:U25)</f>
        <v>0</v>
      </c>
      <c r="W25" s="120">
        <f t="shared" si="18"/>
        <v>0.20178935779639051</v>
      </c>
      <c r="X25" s="120" t="str">
        <f t="shared" si="8"/>
        <v/>
      </c>
      <c r="Y25" s="120" t="str">
        <f t="shared" si="9"/>
        <v/>
      </c>
      <c r="Z25" s="118" t="str">
        <f>IFERROR(AVERAGEIF('Daily KPI'!$D:$D,Table14[[#This Row],[Month]],'Daily KPI'!$AB:$AB),"")</f>
        <v/>
      </c>
      <c r="AA25" s="121">
        <f>IFERROR(AVERAGEIF($F$6:F25,F25,$N$6:N25),"")</f>
        <v>8.0208999999999993</v>
      </c>
      <c r="AB25" s="119"/>
      <c r="AC25" s="118"/>
      <c r="AD25" s="118"/>
      <c r="AE25" s="120">
        <v>0.98040000000000005</v>
      </c>
      <c r="AF25" s="120">
        <v>0.98</v>
      </c>
      <c r="AG25" s="120"/>
      <c r="AH25" s="120"/>
      <c r="AI25" s="120"/>
      <c r="AJ25" s="120"/>
      <c r="AK25" s="120"/>
      <c r="AL25" s="120"/>
      <c r="AM25" s="133"/>
      <c r="AN25" s="133"/>
      <c r="AO25" s="112">
        <v>8</v>
      </c>
    </row>
    <row r="26" spans="1:41" x14ac:dyDescent="0.3">
      <c r="A26" s="112">
        <f t="shared" si="10"/>
        <v>25</v>
      </c>
      <c r="B26" s="113" t="str">
        <f t="shared" si="19"/>
        <v>April</v>
      </c>
      <c r="C26" s="113">
        <f t="shared" si="19"/>
        <v>4</v>
      </c>
      <c r="D26" s="114">
        <v>43922</v>
      </c>
      <c r="E26" s="115">
        <f t="shared" si="22"/>
        <v>2020</v>
      </c>
      <c r="F26" s="115" t="s">
        <v>1165</v>
      </c>
      <c r="G26" s="116">
        <f t="shared" si="23"/>
        <v>30</v>
      </c>
      <c r="H26" s="121">
        <f t="shared" si="20"/>
        <v>193.6</v>
      </c>
      <c r="I26" s="121">
        <f t="shared" si="20"/>
        <v>191.7</v>
      </c>
      <c r="J26" s="118"/>
      <c r="K26" s="117"/>
      <c r="L26" s="116"/>
      <c r="M26" s="125">
        <f t="shared" si="21"/>
        <v>1055.6537985859879</v>
      </c>
      <c r="N26" s="119">
        <v>8.0208999999999993</v>
      </c>
      <c r="O26" s="120">
        <f t="shared" si="13"/>
        <v>0.68655652664663702</v>
      </c>
      <c r="P26" s="118">
        <f t="shared" si="14"/>
        <v>6.39</v>
      </c>
      <c r="Q26" s="116">
        <f>COUNTIFS('Daily KPI'!$D:$D,D26,'Daily KPI'!$O:$O,"&gt;0")</f>
        <v>0</v>
      </c>
      <c r="R26" s="119">
        <f t="shared" si="15"/>
        <v>0</v>
      </c>
      <c r="S26" s="119">
        <f>SUMIF($F$6:F26,F26,$R$6:R26)</f>
        <v>0</v>
      </c>
      <c r="T26" s="118">
        <f t="shared" si="16"/>
        <v>35.188459952866268</v>
      </c>
      <c r="U26" s="119">
        <f t="shared" si="17"/>
        <v>0</v>
      </c>
      <c r="V26" s="119">
        <f>SUMIF($F$6:F26,F26,$U$6:U26)</f>
        <v>0</v>
      </c>
      <c r="W26" s="120">
        <f t="shared" si="18"/>
        <v>0.18279567521966711</v>
      </c>
      <c r="X26" s="120" t="str">
        <f t="shared" si="8"/>
        <v/>
      </c>
      <c r="Y26" s="120" t="str">
        <f t="shared" si="9"/>
        <v/>
      </c>
      <c r="Z26" s="118" t="str">
        <f>IFERROR(AVERAGEIF('Daily KPI'!$D:$D,Table14[[#This Row],[Month]],'Daily KPI'!$AB:$AB),"")</f>
        <v/>
      </c>
      <c r="AA26" s="121">
        <f>IFERROR(AVERAGEIF($F$6:F26,F26,$N$6:N26),"")</f>
        <v>8.0208999999999993</v>
      </c>
      <c r="AB26" s="119"/>
      <c r="AC26" s="118"/>
      <c r="AD26" s="118"/>
      <c r="AE26" s="120">
        <v>0.98040000000000005</v>
      </c>
      <c r="AF26" s="120">
        <v>0.98</v>
      </c>
      <c r="AG26" s="120"/>
      <c r="AH26" s="120"/>
      <c r="AI26" s="120"/>
      <c r="AJ26" s="120"/>
      <c r="AK26" s="120"/>
      <c r="AL26" s="120"/>
      <c r="AM26" s="133"/>
      <c r="AN26" s="133"/>
      <c r="AO26" s="112">
        <v>8</v>
      </c>
    </row>
    <row r="27" spans="1:41" x14ac:dyDescent="0.3">
      <c r="A27" s="112">
        <f t="shared" si="10"/>
        <v>26</v>
      </c>
      <c r="B27" s="113" t="str">
        <f t="shared" si="19"/>
        <v>May</v>
      </c>
      <c r="C27" s="113">
        <f t="shared" si="19"/>
        <v>5</v>
      </c>
      <c r="D27" s="114">
        <v>43952</v>
      </c>
      <c r="E27" s="115">
        <f t="shared" si="22"/>
        <v>2020</v>
      </c>
      <c r="F27" s="115" t="s">
        <v>1165</v>
      </c>
      <c r="G27" s="116">
        <f t="shared" si="23"/>
        <v>31</v>
      </c>
      <c r="H27" s="121">
        <f t="shared" si="20"/>
        <v>198.6</v>
      </c>
      <c r="I27" s="121">
        <f t="shared" si="20"/>
        <v>186.4</v>
      </c>
      <c r="J27" s="118"/>
      <c r="K27" s="117"/>
      <c r="L27" s="116"/>
      <c r="M27" s="125">
        <f t="shared" si="21"/>
        <v>1060.9585915437065</v>
      </c>
      <c r="N27" s="119">
        <v>8.0208999999999993</v>
      </c>
      <c r="O27" s="120">
        <f t="shared" si="13"/>
        <v>0.70962584466409462</v>
      </c>
      <c r="P27" s="118">
        <f t="shared" si="14"/>
        <v>6.0129032258064514</v>
      </c>
      <c r="Q27" s="116">
        <f>COUNTIFS('Daily KPI'!$D:$D,D27,'Daily KPI'!$O:$O,"&gt;0")</f>
        <v>0</v>
      </c>
      <c r="R27" s="119">
        <f t="shared" si="15"/>
        <v>0</v>
      </c>
      <c r="S27" s="119">
        <f>SUMIF($F$6:F27,F27,$R$6:R27)</f>
        <v>0</v>
      </c>
      <c r="T27" s="118">
        <f t="shared" si="16"/>
        <v>34.224470694958271</v>
      </c>
      <c r="U27" s="119">
        <f t="shared" si="17"/>
        <v>0</v>
      </c>
      <c r="V27" s="119">
        <f>SUMIF($F$6:F27,F27,$U$6:U27)</f>
        <v>0</v>
      </c>
      <c r="W27" s="120">
        <f t="shared" si="18"/>
        <v>0.17778798043734842</v>
      </c>
      <c r="X27" s="120" t="str">
        <f t="shared" si="8"/>
        <v/>
      </c>
      <c r="Y27" s="120" t="str">
        <f t="shared" si="9"/>
        <v/>
      </c>
      <c r="Z27" s="118" t="str">
        <f>IFERROR(AVERAGEIF('Daily KPI'!$D:$D,Table14[[#This Row],[Month]],'Daily KPI'!$AB:$AB),"")</f>
        <v/>
      </c>
      <c r="AA27" s="121">
        <f>IFERROR(AVERAGEIF($F$6:F27,F27,$N$6:N27),"")</f>
        <v>8.0208999999999993</v>
      </c>
      <c r="AB27" s="119"/>
      <c r="AC27" s="118"/>
      <c r="AD27" s="118"/>
      <c r="AE27" s="120">
        <v>0.98040000000000005</v>
      </c>
      <c r="AF27" s="120">
        <v>0.98</v>
      </c>
      <c r="AG27" s="120"/>
      <c r="AH27" s="120"/>
      <c r="AI27" s="120"/>
      <c r="AJ27" s="120"/>
      <c r="AK27" s="120"/>
      <c r="AL27" s="120"/>
      <c r="AM27" s="133"/>
      <c r="AN27" s="133"/>
      <c r="AO27" s="112">
        <v>8</v>
      </c>
    </row>
    <row r="28" spans="1:41" x14ac:dyDescent="0.3">
      <c r="A28" s="112">
        <f t="shared" si="10"/>
        <v>27</v>
      </c>
      <c r="B28" s="113" t="str">
        <f t="shared" si="19"/>
        <v>June</v>
      </c>
      <c r="C28" s="113">
        <f t="shared" si="19"/>
        <v>6</v>
      </c>
      <c r="D28" s="114">
        <v>43983</v>
      </c>
      <c r="E28" s="115">
        <f t="shared" si="22"/>
        <v>2020</v>
      </c>
      <c r="F28" s="115" t="s">
        <v>1165</v>
      </c>
      <c r="G28" s="116">
        <f t="shared" si="23"/>
        <v>30</v>
      </c>
      <c r="H28" s="121">
        <f t="shared" si="20"/>
        <v>154.80000000000001</v>
      </c>
      <c r="I28" s="121">
        <f t="shared" si="20"/>
        <v>142.80000000000001</v>
      </c>
      <c r="J28" s="118"/>
      <c r="K28" s="117"/>
      <c r="L28" s="116"/>
      <c r="M28" s="125">
        <f t="shared" si="21"/>
        <v>790.41415070006133</v>
      </c>
      <c r="N28" s="119">
        <v>8.0208999999999993</v>
      </c>
      <c r="O28" s="120">
        <f t="shared" si="13"/>
        <v>0.6900862870925315</v>
      </c>
      <c r="P28" s="118">
        <f t="shared" si="14"/>
        <v>4.7600000000000007</v>
      </c>
      <c r="Q28" s="116">
        <f>COUNTIFS('Daily KPI'!$D:$D,D28,'Daily KPI'!$O:$O,"&gt;0")</f>
        <v>0</v>
      </c>
      <c r="R28" s="119">
        <f t="shared" si="15"/>
        <v>0</v>
      </c>
      <c r="S28" s="119">
        <f>SUMIF($F$6:F28,F28,$R$6:R28)</f>
        <v>0</v>
      </c>
      <c r="T28" s="118">
        <f t="shared" si="16"/>
        <v>26.347138356668712</v>
      </c>
      <c r="U28" s="119">
        <f t="shared" si="17"/>
        <v>0</v>
      </c>
      <c r="V28" s="119">
        <f>SUMIF($F$6:F28,F28,$U$6:U28)</f>
        <v>0</v>
      </c>
      <c r="W28" s="120">
        <f t="shared" si="18"/>
        <v>0.13686711360668541</v>
      </c>
      <c r="X28" s="120" t="str">
        <f t="shared" si="8"/>
        <v/>
      </c>
      <c r="Y28" s="120" t="str">
        <f t="shared" si="9"/>
        <v/>
      </c>
      <c r="Z28" s="118" t="str">
        <f>IFERROR(AVERAGEIF('Daily KPI'!$D:$D,Table14[[#This Row],[Month]],'Daily KPI'!$AB:$AB),"")</f>
        <v/>
      </c>
      <c r="AA28" s="121">
        <f>IFERROR(AVERAGEIF($F$6:F28,F28,$N$6:N28),"")</f>
        <v>8.0208999999999993</v>
      </c>
      <c r="AB28" s="119"/>
      <c r="AC28" s="118"/>
      <c r="AD28" s="118"/>
      <c r="AE28" s="120">
        <v>0.98040000000000005</v>
      </c>
      <c r="AF28" s="120">
        <v>0.98</v>
      </c>
      <c r="AG28" s="120"/>
      <c r="AH28" s="120"/>
      <c r="AI28" s="120"/>
      <c r="AJ28" s="120"/>
      <c r="AK28" s="120"/>
      <c r="AL28" s="120"/>
      <c r="AM28" s="133"/>
      <c r="AN28" s="133"/>
      <c r="AO28" s="112">
        <v>8</v>
      </c>
    </row>
    <row r="29" spans="1:41" x14ac:dyDescent="0.3">
      <c r="A29" s="112">
        <f t="shared" si="10"/>
        <v>28</v>
      </c>
      <c r="B29" s="113" t="str">
        <f t="shared" si="19"/>
        <v>July</v>
      </c>
      <c r="C29" s="113">
        <f t="shared" si="19"/>
        <v>7</v>
      </c>
      <c r="D29" s="114">
        <v>44013</v>
      </c>
      <c r="E29" s="115">
        <f t="shared" si="22"/>
        <v>2020</v>
      </c>
      <c r="F29" s="115" t="s">
        <v>1165</v>
      </c>
      <c r="G29" s="116">
        <f t="shared" si="23"/>
        <v>31</v>
      </c>
      <c r="H29" s="121">
        <f t="shared" si="20"/>
        <v>134.4</v>
      </c>
      <c r="I29" s="121">
        <f t="shared" si="20"/>
        <v>125.4</v>
      </c>
      <c r="J29" s="118"/>
      <c r="K29" s="117"/>
      <c r="L29" s="116"/>
      <c r="M29" s="125">
        <f t="shared" si="21"/>
        <v>721.45184224972047</v>
      </c>
      <c r="N29" s="119">
        <v>8.0208999999999993</v>
      </c>
      <c r="O29" s="120">
        <f t="shared" si="13"/>
        <v>0.71727667514245075</v>
      </c>
      <c r="P29" s="118">
        <f t="shared" si="14"/>
        <v>4.0451612903225804</v>
      </c>
      <c r="Q29" s="116">
        <f>COUNTIFS('Daily KPI'!$D:$D,D29,'Daily KPI'!$O:$O,"&gt;0")</f>
        <v>0</v>
      </c>
      <c r="R29" s="119">
        <f t="shared" si="15"/>
        <v>0</v>
      </c>
      <c r="S29" s="119">
        <f>SUMIF($F$2:F97,F29,$R$2:R97)</f>
        <v>0</v>
      </c>
      <c r="T29" s="118">
        <f t="shared" si="16"/>
        <v>23.27264007257163</v>
      </c>
      <c r="U29" s="119">
        <f t="shared" si="17"/>
        <v>0</v>
      </c>
      <c r="V29" s="119">
        <f>SUMIF($F$2:F97,F29,$U$2:U97)</f>
        <v>0</v>
      </c>
      <c r="W29" s="120">
        <f t="shared" si="18"/>
        <v>0.12089582669739696</v>
      </c>
      <c r="X29" s="120" t="str">
        <f t="shared" si="8"/>
        <v/>
      </c>
      <c r="Y29" s="120" t="str">
        <f t="shared" si="9"/>
        <v/>
      </c>
      <c r="Z29" s="118" t="str">
        <f>IFERROR(AVERAGEIF('Daily KPI'!$D:$D,Table14[[#This Row],[Month]],'Daily KPI'!$AB:$AB),"")</f>
        <v/>
      </c>
      <c r="AA29" s="121">
        <f>IFERROR(AVERAGEIF($F$2:F97,F29,$N$2:N97),"")</f>
        <v>8.0208999999999993</v>
      </c>
      <c r="AB29" s="119"/>
      <c r="AC29" s="118"/>
      <c r="AD29" s="118"/>
      <c r="AE29" s="120">
        <v>0.98040000000000005</v>
      </c>
      <c r="AF29" s="120">
        <v>0.98</v>
      </c>
      <c r="AG29" s="120"/>
      <c r="AH29" s="120"/>
      <c r="AI29" s="120"/>
      <c r="AJ29" s="120"/>
      <c r="AK29" s="120"/>
      <c r="AL29" s="120"/>
      <c r="AM29" s="133"/>
      <c r="AN29" s="133"/>
      <c r="AO29" s="112">
        <v>8</v>
      </c>
    </row>
    <row r="30" spans="1:41" x14ac:dyDescent="0.3">
      <c r="A30" s="112">
        <f t="shared" si="10"/>
        <v>29</v>
      </c>
      <c r="B30" s="113" t="str">
        <f t="shared" si="19"/>
        <v>August</v>
      </c>
      <c r="C30" s="113">
        <f t="shared" si="19"/>
        <v>8</v>
      </c>
      <c r="D30" s="114">
        <v>44044</v>
      </c>
      <c r="E30" s="115">
        <f t="shared" si="22"/>
        <v>2020</v>
      </c>
      <c r="F30" s="115" t="s">
        <v>1165</v>
      </c>
      <c r="G30" s="116">
        <f t="shared" si="23"/>
        <v>31</v>
      </c>
      <c r="H30" s="121">
        <f t="shared" si="20"/>
        <v>134.6</v>
      </c>
      <c r="I30" s="121">
        <f t="shared" si="20"/>
        <v>130.69999999999999</v>
      </c>
      <c r="J30" s="118"/>
      <c r="K30" s="117"/>
      <c r="L30" s="116"/>
      <c r="M30" s="125">
        <f t="shared" si="21"/>
        <v>763.89018591146873</v>
      </c>
      <c r="N30" s="119">
        <v>8.0208999999999993</v>
      </c>
      <c r="O30" s="120">
        <f t="shared" si="13"/>
        <v>0.72867226748797886</v>
      </c>
      <c r="P30" s="118">
        <f t="shared" si="14"/>
        <v>4.2161290322580642</v>
      </c>
      <c r="Q30" s="116">
        <f>COUNTIFS('Daily KPI'!$D:$D,D30,'Daily KPI'!$O:$O,"&gt;0")</f>
        <v>0</v>
      </c>
      <c r="R30" s="119">
        <f t="shared" si="15"/>
        <v>0</v>
      </c>
      <c r="S30" s="119">
        <f>SUMIF($F$2:F30,F30,$R$2:R30)</f>
        <v>0</v>
      </c>
      <c r="T30" s="118">
        <f t="shared" si="16"/>
        <v>24.641618900369959</v>
      </c>
      <c r="U30" s="119">
        <f t="shared" si="17"/>
        <v>0</v>
      </c>
      <c r="V30" s="119">
        <f>SUMIF($F$2:F30,F30,$U$2:U30)</f>
        <v>0</v>
      </c>
      <c r="W30" s="120">
        <f t="shared" si="18"/>
        <v>0.12800734591489088</v>
      </c>
      <c r="X30" s="120" t="str">
        <f t="shared" si="8"/>
        <v/>
      </c>
      <c r="Y30" s="120" t="str">
        <f t="shared" si="9"/>
        <v/>
      </c>
      <c r="Z30" s="118" t="str">
        <f>IFERROR(AVERAGEIF('Daily KPI'!$D:$D,Table14[[#This Row],[Month]],'Daily KPI'!$AB:$AB),"")</f>
        <v/>
      </c>
      <c r="AA30" s="121">
        <f>IFERROR(AVERAGEIF($F$2:F30,F30,$N$2:N30),"")</f>
        <v>8.0208999999999993</v>
      </c>
      <c r="AB30" s="119"/>
      <c r="AC30" s="118"/>
      <c r="AD30" s="118"/>
      <c r="AE30" s="120">
        <v>0.98040000000000005</v>
      </c>
      <c r="AF30" s="120">
        <v>0.98</v>
      </c>
      <c r="AG30" s="120"/>
      <c r="AH30" s="120"/>
      <c r="AI30" s="120"/>
      <c r="AJ30" s="120"/>
      <c r="AK30" s="120"/>
      <c r="AL30" s="120"/>
      <c r="AM30" s="133"/>
      <c r="AN30" s="133"/>
      <c r="AO30" s="112">
        <v>8</v>
      </c>
    </row>
    <row r="31" spans="1:41" x14ac:dyDescent="0.3">
      <c r="A31" s="112">
        <f t="shared" si="10"/>
        <v>30</v>
      </c>
      <c r="B31" s="113" t="str">
        <f t="shared" ref="B31:C46" si="24">B19</f>
        <v>September</v>
      </c>
      <c r="C31" s="113">
        <f t="shared" si="24"/>
        <v>9</v>
      </c>
      <c r="D31" s="114">
        <v>44075</v>
      </c>
      <c r="E31" s="115">
        <f t="shared" si="22"/>
        <v>2020</v>
      </c>
      <c r="F31" s="115" t="s">
        <v>1165</v>
      </c>
      <c r="G31" s="116">
        <f t="shared" si="23"/>
        <v>30</v>
      </c>
      <c r="H31" s="121">
        <f t="shared" ref="H31:I46" si="25">H19</f>
        <v>142.5</v>
      </c>
      <c r="I31" s="121">
        <f t="shared" si="25"/>
        <v>145.4</v>
      </c>
      <c r="J31" s="118"/>
      <c r="K31" s="117"/>
      <c r="L31" s="116"/>
      <c r="M31" s="125">
        <f t="shared" si="21"/>
        <v>827.54770140409107</v>
      </c>
      <c r="N31" s="119">
        <v>8.0208999999999993</v>
      </c>
      <c r="O31" s="120">
        <f t="shared" si="13"/>
        <v>0.70958680060111445</v>
      </c>
      <c r="P31" s="118">
        <f t="shared" si="14"/>
        <v>4.8466666666666667</v>
      </c>
      <c r="Q31" s="116">
        <f>COUNTIFS('Daily KPI'!$D:$D,D31,'Daily KPI'!$O:$O,"&gt;0")</f>
        <v>0</v>
      </c>
      <c r="R31" s="119">
        <f t="shared" si="15"/>
        <v>0</v>
      </c>
      <c r="S31" s="119">
        <f>SUMIF($F$2:F31,F31,$R$2:R31)</f>
        <v>0</v>
      </c>
      <c r="T31" s="118">
        <f t="shared" si="16"/>
        <v>27.58492338013637</v>
      </c>
      <c r="U31" s="119">
        <f t="shared" si="17"/>
        <v>0</v>
      </c>
      <c r="V31" s="119">
        <f>SUMIF($F$2:F31,F31,$U$2:U31)</f>
        <v>0</v>
      </c>
      <c r="W31" s="120">
        <f t="shared" si="18"/>
        <v>0.14329711223250285</v>
      </c>
      <c r="X31" s="120" t="str">
        <f t="shared" si="8"/>
        <v/>
      </c>
      <c r="Y31" s="120" t="str">
        <f t="shared" si="9"/>
        <v/>
      </c>
      <c r="Z31" s="118" t="str">
        <f>IFERROR(AVERAGEIF('Daily KPI'!$D:$D,Table14[[#This Row],[Month]],'Daily KPI'!$AB:$AB),"")</f>
        <v/>
      </c>
      <c r="AA31" s="121">
        <f>IFERROR(AVERAGEIF($F$2:F31,F31,$N$2:N31),"")</f>
        <v>8.0208999999999993</v>
      </c>
      <c r="AB31" s="119"/>
      <c r="AC31" s="118"/>
      <c r="AD31" s="118"/>
      <c r="AE31" s="120">
        <v>0.98040000000000005</v>
      </c>
      <c r="AF31" s="120">
        <v>0.98</v>
      </c>
      <c r="AG31" s="120"/>
      <c r="AH31" s="120"/>
      <c r="AI31" s="120"/>
      <c r="AJ31" s="120"/>
      <c r="AK31" s="120"/>
      <c r="AL31" s="120"/>
      <c r="AM31" s="133"/>
      <c r="AN31" s="133"/>
      <c r="AO31" s="112">
        <v>8</v>
      </c>
    </row>
    <row r="32" spans="1:41" x14ac:dyDescent="0.3">
      <c r="A32" s="112">
        <f t="shared" si="10"/>
        <v>31</v>
      </c>
      <c r="B32" s="113" t="str">
        <f t="shared" si="24"/>
        <v>October</v>
      </c>
      <c r="C32" s="113">
        <f t="shared" si="24"/>
        <v>10</v>
      </c>
      <c r="D32" s="114">
        <v>44105</v>
      </c>
      <c r="E32" s="115">
        <f t="shared" si="22"/>
        <v>2020</v>
      </c>
      <c r="F32" s="115" t="s">
        <v>1165</v>
      </c>
      <c r="G32" s="116">
        <f t="shared" si="23"/>
        <v>31</v>
      </c>
      <c r="H32" s="121">
        <f t="shared" si="25"/>
        <v>145.69999999999999</v>
      </c>
      <c r="I32" s="121">
        <f t="shared" si="25"/>
        <v>158.80000000000001</v>
      </c>
      <c r="J32" s="118"/>
      <c r="K32" s="117"/>
      <c r="L32" s="116"/>
      <c r="M32" s="125">
        <f t="shared" si="21"/>
        <v>938.9483535161803</v>
      </c>
      <c r="N32" s="119">
        <v>8.0208999999999993</v>
      </c>
      <c r="O32" s="120">
        <f t="shared" si="13"/>
        <v>0.73717076724916697</v>
      </c>
      <c r="P32" s="118">
        <f t="shared" si="14"/>
        <v>5.1225806451612907</v>
      </c>
      <c r="Q32" s="116">
        <f>COUNTIFS('Daily KPI'!$D:$D,D32,'Daily KPI'!$O:$O,"&gt;0")</f>
        <v>0</v>
      </c>
      <c r="R32" s="119">
        <f t="shared" si="15"/>
        <v>0</v>
      </c>
      <c r="S32" s="119">
        <f>SUMIF($F$2:F32,F32,$R$2:R32)</f>
        <v>0</v>
      </c>
      <c r="T32" s="118">
        <f t="shared" si="16"/>
        <v>30.288656565038075</v>
      </c>
      <c r="U32" s="119">
        <f t="shared" si="17"/>
        <v>0</v>
      </c>
      <c r="V32" s="119">
        <f>SUMIF($F$2:F32,F32,$U$2:U32)</f>
        <v>0</v>
      </c>
      <c r="W32" s="120">
        <f t="shared" si="18"/>
        <v>0.15734236268705337</v>
      </c>
      <c r="X32" s="120" t="str">
        <f t="shared" si="8"/>
        <v/>
      </c>
      <c r="Y32" s="120" t="str">
        <f t="shared" si="9"/>
        <v/>
      </c>
      <c r="Z32" s="118" t="str">
        <f>IFERROR(AVERAGEIF('Daily KPI'!$D:$D,Table14[[#This Row],[Month]],'Daily KPI'!$AB:$AB),"")</f>
        <v/>
      </c>
      <c r="AA32" s="121">
        <f>IFERROR(AVERAGEIF($F$2:F32,F32,$N$2:N32),"")</f>
        <v>8.0208999999999993</v>
      </c>
      <c r="AB32" s="119"/>
      <c r="AC32" s="118"/>
      <c r="AD32" s="118"/>
      <c r="AE32" s="120">
        <v>0.98040000000000005</v>
      </c>
      <c r="AF32" s="120">
        <v>0.98</v>
      </c>
      <c r="AG32" s="120"/>
      <c r="AH32" s="120"/>
      <c r="AI32" s="120"/>
      <c r="AJ32" s="120"/>
      <c r="AK32" s="120"/>
      <c r="AL32" s="120"/>
      <c r="AM32" s="133"/>
      <c r="AN32" s="133"/>
      <c r="AO32" s="112">
        <v>8</v>
      </c>
    </row>
    <row r="33" spans="1:41" x14ac:dyDescent="0.3">
      <c r="A33" s="112">
        <f t="shared" si="10"/>
        <v>32</v>
      </c>
      <c r="B33" s="113" t="str">
        <f t="shared" si="24"/>
        <v>November</v>
      </c>
      <c r="C33" s="113">
        <f t="shared" si="24"/>
        <v>11</v>
      </c>
      <c r="D33" s="114">
        <v>44136</v>
      </c>
      <c r="E33" s="115">
        <f t="shared" si="22"/>
        <v>2020</v>
      </c>
      <c r="F33" s="115" t="s">
        <v>1165</v>
      </c>
      <c r="G33" s="116">
        <f t="shared" si="23"/>
        <v>30</v>
      </c>
      <c r="H33" s="121">
        <f t="shared" si="25"/>
        <v>138.9</v>
      </c>
      <c r="I33" s="121">
        <f t="shared" si="25"/>
        <v>163</v>
      </c>
      <c r="J33" s="118"/>
      <c r="K33" s="117"/>
      <c r="L33" s="116"/>
      <c r="M33" s="125">
        <f t="shared" si="21"/>
        <v>944.25314647389882</v>
      </c>
      <c r="N33" s="119">
        <v>8.0208999999999993</v>
      </c>
      <c r="O33" s="120">
        <f t="shared" si="13"/>
        <v>0.7222336756220531</v>
      </c>
      <c r="P33" s="118">
        <f t="shared" si="14"/>
        <v>5.4333333333333336</v>
      </c>
      <c r="Q33" s="116">
        <f>COUNTIFS('Daily KPI'!$D:$D,D33,'Daily KPI'!$O:$O,"&gt;0")</f>
        <v>0</v>
      </c>
      <c r="R33" s="119">
        <f t="shared" si="15"/>
        <v>0</v>
      </c>
      <c r="S33" s="119">
        <f>SUMIF($F$2:F33,F33,$R$2:R33)</f>
        <v>0</v>
      </c>
      <c r="T33" s="118">
        <f t="shared" si="16"/>
        <v>31.475104882463295</v>
      </c>
      <c r="U33" s="119">
        <f t="shared" si="17"/>
        <v>0</v>
      </c>
      <c r="V33" s="119">
        <f>SUMIF($F$2:F33,F33,$U$2:U33)</f>
        <v>0</v>
      </c>
      <c r="W33" s="120">
        <f t="shared" si="18"/>
        <v>0.1635056793422148</v>
      </c>
      <c r="X33" s="120" t="str">
        <f t="shared" si="8"/>
        <v/>
      </c>
      <c r="Y33" s="120" t="str">
        <f t="shared" si="9"/>
        <v/>
      </c>
      <c r="Z33" s="118" t="str">
        <f>IFERROR(AVERAGEIF('Daily KPI'!$D:$D,Table14[[#This Row],[Month]],'Daily KPI'!$AB:$AB),"")</f>
        <v/>
      </c>
      <c r="AA33" s="121">
        <f>IFERROR(AVERAGEIF($F$2:F33,F33,$N$2:N33),"")</f>
        <v>8.0208999999999993</v>
      </c>
      <c r="AB33" s="119"/>
      <c r="AC33" s="118"/>
      <c r="AD33" s="118"/>
      <c r="AE33" s="120">
        <v>0.98040000000000005</v>
      </c>
      <c r="AF33" s="120">
        <v>0.98</v>
      </c>
      <c r="AG33" s="120"/>
      <c r="AH33" s="120"/>
      <c r="AI33" s="120"/>
      <c r="AJ33" s="120"/>
      <c r="AK33" s="120"/>
      <c r="AL33" s="120"/>
      <c r="AM33" s="133"/>
      <c r="AN33" s="133"/>
      <c r="AO33" s="112">
        <v>8</v>
      </c>
    </row>
    <row r="34" spans="1:41" x14ac:dyDescent="0.3">
      <c r="A34" s="112">
        <f t="shared" si="10"/>
        <v>33</v>
      </c>
      <c r="B34" s="113" t="str">
        <f t="shared" si="24"/>
        <v>December</v>
      </c>
      <c r="C34" s="113">
        <f t="shared" si="24"/>
        <v>12</v>
      </c>
      <c r="D34" s="114">
        <v>44166</v>
      </c>
      <c r="E34" s="115">
        <f t="shared" si="22"/>
        <v>2020</v>
      </c>
      <c r="F34" s="115" t="s">
        <v>1165</v>
      </c>
      <c r="G34" s="116">
        <f t="shared" si="23"/>
        <v>31</v>
      </c>
      <c r="H34" s="121">
        <f t="shared" si="25"/>
        <v>134.69999999999999</v>
      </c>
      <c r="I34" s="121">
        <f t="shared" si="25"/>
        <v>163.69999999999999</v>
      </c>
      <c r="J34" s="118"/>
      <c r="K34" s="117"/>
      <c r="L34" s="116"/>
      <c r="M34" s="125">
        <f t="shared" si="21"/>
        <v>981.38669717792857</v>
      </c>
      <c r="N34" s="119">
        <v>8.0208999999999993</v>
      </c>
      <c r="O34" s="120">
        <f t="shared" si="13"/>
        <v>0.74742631726929265</v>
      </c>
      <c r="P34" s="118">
        <f t="shared" si="14"/>
        <v>5.2806451612903222</v>
      </c>
      <c r="Q34" s="116">
        <f>COUNTIFS('Daily KPI'!$D:$D,D34,'Daily KPI'!$O:$O,"&gt;0")</f>
        <v>0</v>
      </c>
      <c r="R34" s="119">
        <f t="shared" si="15"/>
        <v>0</v>
      </c>
      <c r="S34" s="119">
        <f>SUMIF($F$2:F97,F34,$R$2:R97)</f>
        <v>0</v>
      </c>
      <c r="T34" s="118">
        <f t="shared" si="16"/>
        <v>31.657635392836404</v>
      </c>
      <c r="U34" s="119">
        <f t="shared" si="17"/>
        <v>0</v>
      </c>
      <c r="V34" s="119">
        <f>SUMIF($F$2:F97,F34,$U$2:U97)</f>
        <v>0</v>
      </c>
      <c r="W34" s="120">
        <f t="shared" si="18"/>
        <v>0.16445388190454732</v>
      </c>
      <c r="X34" s="120" t="str">
        <f t="shared" ref="X34:X65" si="26">IFERROR(U34/(24*N34*Q34),"")</f>
        <v/>
      </c>
      <c r="Y34" s="120" t="str">
        <f t="shared" si="9"/>
        <v/>
      </c>
      <c r="Z34" s="118" t="str">
        <f>IFERROR(AVERAGEIF('Daily KPI'!$D:$D,Table14[[#This Row],[Month]],'Daily KPI'!$AB:$AB),"")</f>
        <v/>
      </c>
      <c r="AA34" s="121">
        <f>IFERROR(AVERAGEIF($F$2:F97,F34,$N$2:N97),"")</f>
        <v>8.0208999999999993</v>
      </c>
      <c r="AB34" s="119"/>
      <c r="AC34" s="118"/>
      <c r="AD34" s="118"/>
      <c r="AE34" s="120">
        <v>0.98040000000000005</v>
      </c>
      <c r="AF34" s="120">
        <v>0.98</v>
      </c>
      <c r="AG34" s="120"/>
      <c r="AH34" s="120"/>
      <c r="AI34" s="120"/>
      <c r="AJ34" s="120"/>
      <c r="AK34" s="120"/>
      <c r="AL34" s="120"/>
      <c r="AM34" s="133"/>
      <c r="AN34" s="133"/>
      <c r="AO34" s="112">
        <v>8</v>
      </c>
    </row>
    <row r="35" spans="1:41" x14ac:dyDescent="0.3">
      <c r="A35" s="112">
        <f t="shared" si="10"/>
        <v>34</v>
      </c>
      <c r="B35" s="113" t="str">
        <f t="shared" si="24"/>
        <v>January</v>
      </c>
      <c r="C35" s="113">
        <f t="shared" si="24"/>
        <v>1</v>
      </c>
      <c r="D35" s="114">
        <v>44197</v>
      </c>
      <c r="E35" s="115">
        <f t="shared" si="22"/>
        <v>2021</v>
      </c>
      <c r="F35" s="115" t="s">
        <v>1165</v>
      </c>
      <c r="G35" s="116">
        <f t="shared" si="23"/>
        <v>31</v>
      </c>
      <c r="H35" s="121">
        <f t="shared" si="25"/>
        <v>151.6</v>
      </c>
      <c r="I35" s="121">
        <f t="shared" si="25"/>
        <v>183.9</v>
      </c>
      <c r="J35" s="118"/>
      <c r="K35" s="117"/>
      <c r="L35" s="116"/>
      <c r="M35" s="125">
        <f t="shared" si="21"/>
        <v>1087.4825563322993</v>
      </c>
      <c r="N35" s="119">
        <v>8.0208999999999993</v>
      </c>
      <c r="O35" s="120">
        <f t="shared" si="13"/>
        <v>0.73725456161784642</v>
      </c>
      <c r="P35" s="118">
        <f t="shared" si="14"/>
        <v>5.9322580645161294</v>
      </c>
      <c r="Q35" s="116">
        <f>COUNTIFS('Daily KPI'!$D:$D,D35,'Daily KPI'!$O:$O,"&gt;0")</f>
        <v>0</v>
      </c>
      <c r="R35" s="119">
        <f t="shared" si="15"/>
        <v>0</v>
      </c>
      <c r="S35" s="119">
        <f>SUMIF($F$2:F35,F35,$R$2:R35)</f>
        <v>0</v>
      </c>
      <c r="T35" s="118">
        <f t="shared" si="16"/>
        <v>35.080082462332236</v>
      </c>
      <c r="U35" s="119">
        <f t="shared" si="17"/>
        <v>0</v>
      </c>
      <c r="V35" s="119">
        <f>SUMIF($F$2:F35,F35,$U$2:U35)</f>
        <v>0</v>
      </c>
      <c r="W35" s="120">
        <f t="shared" si="18"/>
        <v>0.18223267994828218</v>
      </c>
      <c r="X35" s="120" t="str">
        <f t="shared" si="26"/>
        <v/>
      </c>
      <c r="Y35" s="120" t="str">
        <f t="shared" si="9"/>
        <v/>
      </c>
      <c r="Z35" s="118" t="str">
        <f>IFERROR(AVERAGEIF('Daily KPI'!$D:$D,Table14[[#This Row],[Month]],'Daily KPI'!$AB:$AB),"")</f>
        <v/>
      </c>
      <c r="AA35" s="121">
        <f>IFERROR(AVERAGEIF($F$2:F35,F35,$N$2:N35),"")</f>
        <v>8.0208999999999993</v>
      </c>
      <c r="AB35" s="119"/>
      <c r="AC35" s="118"/>
      <c r="AD35" s="118"/>
      <c r="AE35" s="120">
        <v>0.98040000000000005</v>
      </c>
      <c r="AF35" s="120">
        <v>0.98</v>
      </c>
      <c r="AG35" s="120"/>
      <c r="AH35" s="120"/>
      <c r="AI35" s="120"/>
      <c r="AJ35" s="120"/>
      <c r="AK35" s="120"/>
      <c r="AL35" s="120"/>
      <c r="AM35" s="133"/>
      <c r="AN35" s="133"/>
      <c r="AO35" s="112">
        <v>8</v>
      </c>
    </row>
    <row r="36" spans="1:41" x14ac:dyDescent="0.3">
      <c r="A36" s="112">
        <f t="shared" si="10"/>
        <v>35</v>
      </c>
      <c r="B36" s="113" t="str">
        <f t="shared" si="24"/>
        <v>February</v>
      </c>
      <c r="C36" s="113">
        <f t="shared" si="24"/>
        <v>2</v>
      </c>
      <c r="D36" s="114">
        <v>44228</v>
      </c>
      <c r="E36" s="115">
        <f t="shared" si="22"/>
        <v>2021</v>
      </c>
      <c r="F36" s="115" t="s">
        <v>1165</v>
      </c>
      <c r="G36" s="116">
        <f t="shared" si="23"/>
        <v>28</v>
      </c>
      <c r="H36" s="121">
        <f t="shared" si="25"/>
        <v>159.9</v>
      </c>
      <c r="I36" s="121">
        <f t="shared" si="25"/>
        <v>184</v>
      </c>
      <c r="J36" s="118"/>
      <c r="K36" s="117"/>
      <c r="L36" s="116"/>
      <c r="M36" s="125">
        <f t="shared" si="21"/>
        <v>1038.6058690088</v>
      </c>
      <c r="N36" s="119">
        <v>8.0208999999999993</v>
      </c>
      <c r="O36" s="120">
        <f t="shared" si="13"/>
        <v>0.70373612863622048</v>
      </c>
      <c r="P36" s="118">
        <f t="shared" si="14"/>
        <v>6.5714285714285712</v>
      </c>
      <c r="Q36" s="116">
        <f>COUNTIFS('Daily KPI'!$D:$D,D36,'Daily KPI'!$O:$O,"&gt;0")</f>
        <v>0</v>
      </c>
      <c r="R36" s="119">
        <f t="shared" si="15"/>
        <v>0</v>
      </c>
      <c r="S36" s="119">
        <f>SUMIF($F$2:F36,F36,$R$2:R36)</f>
        <v>0</v>
      </c>
      <c r="T36" s="118">
        <f t="shared" si="16"/>
        <v>37.093066750314286</v>
      </c>
      <c r="U36" s="119">
        <f t="shared" si="17"/>
        <v>0</v>
      </c>
      <c r="V36" s="119">
        <f>SUMIF($F$2:F36,F36,$U$2:U36)</f>
        <v>0</v>
      </c>
      <c r="W36" s="120">
        <f t="shared" si="18"/>
        <v>0.19268965426944132</v>
      </c>
      <c r="X36" s="120" t="str">
        <f t="shared" si="26"/>
        <v/>
      </c>
      <c r="Y36" s="120" t="str">
        <f t="shared" si="9"/>
        <v/>
      </c>
      <c r="Z36" s="118" t="str">
        <f>IFERROR(AVERAGEIF('Daily KPI'!$D:$D,Table14[[#This Row],[Month]],'Daily KPI'!$AB:$AB),"")</f>
        <v/>
      </c>
      <c r="AA36" s="121">
        <f>IFERROR(AVERAGEIF($F$2:F36,F36,$N$2:N36),"")</f>
        <v>8.0208999999999993</v>
      </c>
      <c r="AB36" s="119"/>
      <c r="AC36" s="118"/>
      <c r="AD36" s="118"/>
      <c r="AE36" s="120">
        <v>0.98040000000000005</v>
      </c>
      <c r="AF36" s="120">
        <v>0.98</v>
      </c>
      <c r="AG36" s="120"/>
      <c r="AH36" s="120"/>
      <c r="AI36" s="120"/>
      <c r="AJ36" s="120"/>
      <c r="AK36" s="120"/>
      <c r="AL36" s="120"/>
      <c r="AM36" s="133"/>
      <c r="AN36" s="133"/>
      <c r="AO36" s="112">
        <v>8</v>
      </c>
    </row>
    <row r="37" spans="1:41" x14ac:dyDescent="0.3">
      <c r="A37" s="112">
        <f t="shared" si="10"/>
        <v>36</v>
      </c>
      <c r="B37" s="113" t="str">
        <f t="shared" si="24"/>
        <v>March</v>
      </c>
      <c r="C37" s="113">
        <f t="shared" si="24"/>
        <v>3</v>
      </c>
      <c r="D37" s="114">
        <v>44256</v>
      </c>
      <c r="E37" s="115">
        <f t="shared" si="22"/>
        <v>2021</v>
      </c>
      <c r="F37" s="115" t="s">
        <v>1165</v>
      </c>
      <c r="G37" s="116">
        <f t="shared" si="23"/>
        <v>31</v>
      </c>
      <c r="H37" s="121">
        <f t="shared" si="25"/>
        <v>197.2</v>
      </c>
      <c r="I37" s="121">
        <f t="shared" si="25"/>
        <v>210.4</v>
      </c>
      <c r="J37" s="118"/>
      <c r="K37" s="117"/>
      <c r="L37" s="116"/>
      <c r="M37" s="125">
        <f t="shared" si="21"/>
        <v>1204.1880014021069</v>
      </c>
      <c r="N37" s="119">
        <v>8.0208999999999993</v>
      </c>
      <c r="O37" s="120">
        <f t="shared" si="13"/>
        <v>0.71355172148533519</v>
      </c>
      <c r="P37" s="118">
        <f t="shared" si="14"/>
        <v>6.7870967741935484</v>
      </c>
      <c r="Q37" s="116">
        <f>COUNTIFS('Daily KPI'!$D:$D,D37,'Daily KPI'!$O:$O,"&gt;0")</f>
        <v>0</v>
      </c>
      <c r="R37" s="119">
        <f t="shared" si="15"/>
        <v>0</v>
      </c>
      <c r="S37" s="119">
        <f>SUMIF($F$2:F37,F37,$R$2:R37)</f>
        <v>0</v>
      </c>
      <c r="T37" s="118">
        <f t="shared" si="16"/>
        <v>38.844774238777646</v>
      </c>
      <c r="U37" s="119">
        <f t="shared" si="17"/>
        <v>0</v>
      </c>
      <c r="V37" s="119">
        <f>SUMIF($F$2:F37,F37,$U$2:U37)</f>
        <v>0</v>
      </c>
      <c r="W37" s="120">
        <f t="shared" si="18"/>
        <v>0.20178935779639051</v>
      </c>
      <c r="X37" s="120" t="str">
        <f t="shared" si="26"/>
        <v/>
      </c>
      <c r="Y37" s="120" t="str">
        <f t="shared" si="9"/>
        <v/>
      </c>
      <c r="Z37" s="118" t="str">
        <f>IFERROR(AVERAGEIF('Daily KPI'!$D:$D,Table14[[#This Row],[Month]],'Daily KPI'!$AB:$AB),"")</f>
        <v/>
      </c>
      <c r="AA37" s="121">
        <f>IFERROR(AVERAGEIF($F$2:F37,F37,$N$2:N37),"")</f>
        <v>8.0208999999999993</v>
      </c>
      <c r="AB37" s="119"/>
      <c r="AC37" s="118"/>
      <c r="AD37" s="118"/>
      <c r="AE37" s="120">
        <v>0.98040000000000005</v>
      </c>
      <c r="AF37" s="120">
        <v>0.98</v>
      </c>
      <c r="AG37" s="120"/>
      <c r="AH37" s="120"/>
      <c r="AI37" s="120"/>
      <c r="AJ37" s="120"/>
      <c r="AK37" s="120"/>
      <c r="AL37" s="120"/>
      <c r="AM37" s="133"/>
      <c r="AN37" s="133"/>
      <c r="AO37" s="112">
        <v>8</v>
      </c>
    </row>
    <row r="38" spans="1:41" x14ac:dyDescent="0.3">
      <c r="A38" s="112">
        <f t="shared" si="10"/>
        <v>37</v>
      </c>
      <c r="B38" s="113" t="str">
        <f t="shared" si="24"/>
        <v>April</v>
      </c>
      <c r="C38" s="113">
        <f t="shared" si="24"/>
        <v>4</v>
      </c>
      <c r="D38" s="114">
        <v>44287</v>
      </c>
      <c r="E38" s="115">
        <f t="shared" si="22"/>
        <v>2021</v>
      </c>
      <c r="F38" s="115" t="s">
        <v>1166</v>
      </c>
      <c r="G38" s="116">
        <f t="shared" si="23"/>
        <v>30</v>
      </c>
      <c r="H38" s="121">
        <f t="shared" si="25"/>
        <v>193.6</v>
      </c>
      <c r="I38" s="121">
        <f t="shared" si="25"/>
        <v>191.7</v>
      </c>
      <c r="J38" s="118"/>
      <c r="K38" s="117"/>
      <c r="L38" s="116"/>
      <c r="M38" s="125">
        <f t="shared" si="21"/>
        <v>1055.6537985859879</v>
      </c>
      <c r="N38" s="119">
        <v>8.0208999999999993</v>
      </c>
      <c r="O38" s="120">
        <f t="shared" si="13"/>
        <v>0.68655652664663702</v>
      </c>
      <c r="P38" s="118">
        <f t="shared" si="14"/>
        <v>6.39</v>
      </c>
      <c r="Q38" s="116">
        <f>COUNTIFS('Daily KPI'!$D:$D,D38,'Daily KPI'!$O:$O,"&gt;0")</f>
        <v>0</v>
      </c>
      <c r="R38" s="119">
        <f t="shared" si="15"/>
        <v>0</v>
      </c>
      <c r="S38" s="119">
        <f>SUMIF($F$2:F38,F38,$R$2:R38)</f>
        <v>0</v>
      </c>
      <c r="T38" s="118">
        <f t="shared" si="16"/>
        <v>35.188459952866268</v>
      </c>
      <c r="U38" s="119">
        <f t="shared" si="17"/>
        <v>0</v>
      </c>
      <c r="V38" s="119">
        <f>SUMIF($F$2:F38,F38,$U$2:U38)</f>
        <v>0</v>
      </c>
      <c r="W38" s="120">
        <f t="shared" si="18"/>
        <v>0.18279567521966711</v>
      </c>
      <c r="X38" s="120" t="str">
        <f t="shared" si="26"/>
        <v/>
      </c>
      <c r="Y38" s="120" t="str">
        <f t="shared" si="9"/>
        <v/>
      </c>
      <c r="Z38" s="118" t="str">
        <f>IFERROR(AVERAGEIF('Daily KPI'!$D:$D,Table14[[#This Row],[Month]],'Daily KPI'!$AB:$AB),"")</f>
        <v/>
      </c>
      <c r="AA38" s="121">
        <f>IFERROR(AVERAGEIF($F$2:F38,F38,$N$2:N38),"")</f>
        <v>8.0208999999999993</v>
      </c>
      <c r="AB38" s="119"/>
      <c r="AC38" s="118"/>
      <c r="AD38" s="118"/>
      <c r="AE38" s="120">
        <v>0.98040000000000005</v>
      </c>
      <c r="AF38" s="120">
        <v>0.98</v>
      </c>
      <c r="AG38" s="120"/>
      <c r="AH38" s="120"/>
      <c r="AI38" s="120"/>
      <c r="AJ38" s="120"/>
      <c r="AK38" s="120"/>
      <c r="AL38" s="120"/>
      <c r="AM38" s="133"/>
      <c r="AN38" s="133"/>
      <c r="AO38" s="112">
        <v>8</v>
      </c>
    </row>
    <row r="39" spans="1:41" x14ac:dyDescent="0.3">
      <c r="A39" s="112">
        <f t="shared" si="10"/>
        <v>38</v>
      </c>
      <c r="B39" s="113" t="str">
        <f t="shared" si="24"/>
        <v>May</v>
      </c>
      <c r="C39" s="113">
        <f t="shared" si="24"/>
        <v>5</v>
      </c>
      <c r="D39" s="114">
        <v>44317</v>
      </c>
      <c r="E39" s="115">
        <f t="shared" si="22"/>
        <v>2021</v>
      </c>
      <c r="F39" s="115" t="s">
        <v>1166</v>
      </c>
      <c r="G39" s="116">
        <f t="shared" si="23"/>
        <v>31</v>
      </c>
      <c r="H39" s="121">
        <f t="shared" si="25"/>
        <v>198.6</v>
      </c>
      <c r="I39" s="121">
        <f t="shared" si="25"/>
        <v>186.4</v>
      </c>
      <c r="J39" s="118"/>
      <c r="K39" s="117"/>
      <c r="L39" s="116"/>
      <c r="M39" s="125">
        <f t="shared" si="21"/>
        <v>1060.9585915437065</v>
      </c>
      <c r="N39" s="119">
        <v>8.0208999999999993</v>
      </c>
      <c r="O39" s="120">
        <f t="shared" si="13"/>
        <v>0.70962584466409462</v>
      </c>
      <c r="P39" s="118">
        <f t="shared" si="14"/>
        <v>6.0129032258064514</v>
      </c>
      <c r="Q39" s="116">
        <f>COUNTIFS('Daily KPI'!$D:$D,D39,'Daily KPI'!$O:$O,"&gt;0")</f>
        <v>0</v>
      </c>
      <c r="R39" s="119">
        <f t="shared" si="15"/>
        <v>0</v>
      </c>
      <c r="S39" s="119">
        <f>SUMIF($F$2:F39,F39,$R$2:R39)</f>
        <v>0</v>
      </c>
      <c r="T39" s="118">
        <f t="shared" si="16"/>
        <v>34.224470694958271</v>
      </c>
      <c r="U39" s="119">
        <f t="shared" si="17"/>
        <v>0</v>
      </c>
      <c r="V39" s="119">
        <f>SUMIF($F$2:F39,F39,$U$2:U39)</f>
        <v>0</v>
      </c>
      <c r="W39" s="120">
        <f t="shared" si="18"/>
        <v>0.17778798043734842</v>
      </c>
      <c r="X39" s="120" t="str">
        <f t="shared" si="26"/>
        <v/>
      </c>
      <c r="Y39" s="120" t="str">
        <f t="shared" si="9"/>
        <v/>
      </c>
      <c r="Z39" s="118" t="str">
        <f>IFERROR(AVERAGEIF('Daily KPI'!$D:$D,Table14[[#This Row],[Month]],'Daily KPI'!$AB:$AB),"")</f>
        <v/>
      </c>
      <c r="AA39" s="121">
        <f>IFERROR(AVERAGEIF($F$2:F39,F39,$N$2:N39),"")</f>
        <v>8.0208999999999993</v>
      </c>
      <c r="AB39" s="119"/>
      <c r="AC39" s="118"/>
      <c r="AD39" s="118"/>
      <c r="AE39" s="120">
        <v>0.98040000000000005</v>
      </c>
      <c r="AF39" s="120">
        <v>0.98</v>
      </c>
      <c r="AG39" s="120"/>
      <c r="AH39" s="120"/>
      <c r="AI39" s="120"/>
      <c r="AJ39" s="120"/>
      <c r="AK39" s="120"/>
      <c r="AL39" s="120"/>
      <c r="AM39" s="133"/>
      <c r="AN39" s="133"/>
      <c r="AO39" s="112">
        <v>8</v>
      </c>
    </row>
    <row r="40" spans="1:41" x14ac:dyDescent="0.3">
      <c r="A40" s="112">
        <f t="shared" si="10"/>
        <v>39</v>
      </c>
      <c r="B40" s="113" t="str">
        <f t="shared" si="24"/>
        <v>June</v>
      </c>
      <c r="C40" s="113">
        <f t="shared" si="24"/>
        <v>6</v>
      </c>
      <c r="D40" s="114">
        <v>44348</v>
      </c>
      <c r="E40" s="115">
        <f t="shared" si="22"/>
        <v>2021</v>
      </c>
      <c r="F40" s="115" t="s">
        <v>1166</v>
      </c>
      <c r="G40" s="116">
        <f t="shared" si="23"/>
        <v>30</v>
      </c>
      <c r="H40" s="121">
        <f t="shared" si="25"/>
        <v>154.80000000000001</v>
      </c>
      <c r="I40" s="121">
        <f t="shared" si="25"/>
        <v>142.80000000000001</v>
      </c>
      <c r="J40" s="118"/>
      <c r="K40" s="117"/>
      <c r="L40" s="116"/>
      <c r="M40" s="125">
        <f t="shared" si="21"/>
        <v>790.41415070006133</v>
      </c>
      <c r="N40" s="119">
        <v>8.0208999999999993</v>
      </c>
      <c r="O40" s="120">
        <f t="shared" si="13"/>
        <v>0.6900862870925315</v>
      </c>
      <c r="P40" s="118">
        <f t="shared" si="14"/>
        <v>4.7600000000000007</v>
      </c>
      <c r="Q40" s="116">
        <f>COUNTIFS('Daily KPI'!$D:$D,D40,'Daily KPI'!$O:$O,"&gt;0")</f>
        <v>0</v>
      </c>
      <c r="R40" s="119">
        <f t="shared" si="15"/>
        <v>0</v>
      </c>
      <c r="S40" s="119">
        <f>SUMIF($F$2:F40,F40,$R$2:R40)</f>
        <v>0</v>
      </c>
      <c r="T40" s="118">
        <f t="shared" si="16"/>
        <v>26.347138356668712</v>
      </c>
      <c r="U40" s="119">
        <f t="shared" si="17"/>
        <v>0</v>
      </c>
      <c r="V40" s="119">
        <f>SUMIF($F$2:F40,F40,$U$2:U40)</f>
        <v>0</v>
      </c>
      <c r="W40" s="120">
        <f t="shared" si="18"/>
        <v>0.13686711360668541</v>
      </c>
      <c r="X40" s="120" t="str">
        <f t="shared" si="26"/>
        <v/>
      </c>
      <c r="Y40" s="120" t="str">
        <f t="shared" si="9"/>
        <v/>
      </c>
      <c r="Z40" s="118" t="str">
        <f>IFERROR(AVERAGEIF('Daily KPI'!$D:$D,Table14[[#This Row],[Month]],'Daily KPI'!$AB:$AB),"")</f>
        <v/>
      </c>
      <c r="AA40" s="121">
        <f>IFERROR(AVERAGEIF($F$2:F40,F40,$N$2:N40),"")</f>
        <v>8.0208999999999993</v>
      </c>
      <c r="AB40" s="119"/>
      <c r="AC40" s="118"/>
      <c r="AD40" s="118"/>
      <c r="AE40" s="120">
        <v>0.98040000000000005</v>
      </c>
      <c r="AF40" s="120">
        <v>0.98</v>
      </c>
      <c r="AG40" s="120"/>
      <c r="AH40" s="120"/>
      <c r="AI40" s="120"/>
      <c r="AJ40" s="120"/>
      <c r="AK40" s="120"/>
      <c r="AL40" s="120"/>
      <c r="AM40" s="133"/>
      <c r="AN40" s="133"/>
      <c r="AO40" s="112">
        <v>8</v>
      </c>
    </row>
    <row r="41" spans="1:41" x14ac:dyDescent="0.3">
      <c r="A41" s="112">
        <f t="shared" si="10"/>
        <v>40</v>
      </c>
      <c r="B41" s="113" t="str">
        <f t="shared" si="24"/>
        <v>July</v>
      </c>
      <c r="C41" s="113">
        <f t="shared" si="24"/>
        <v>7</v>
      </c>
      <c r="D41" s="114">
        <v>44378</v>
      </c>
      <c r="E41" s="115">
        <f t="shared" si="22"/>
        <v>2021</v>
      </c>
      <c r="F41" s="115" t="s">
        <v>1166</v>
      </c>
      <c r="G41" s="116">
        <f t="shared" si="23"/>
        <v>31</v>
      </c>
      <c r="H41" s="121">
        <f t="shared" si="25"/>
        <v>134.4</v>
      </c>
      <c r="I41" s="121">
        <f t="shared" si="25"/>
        <v>125.4</v>
      </c>
      <c r="J41" s="118"/>
      <c r="K41" s="117"/>
      <c r="L41" s="116"/>
      <c r="M41" s="125">
        <f t="shared" si="21"/>
        <v>721.45184224972047</v>
      </c>
      <c r="N41" s="119">
        <v>8.0208999999999993</v>
      </c>
      <c r="O41" s="120">
        <f t="shared" si="13"/>
        <v>0.71727667514245075</v>
      </c>
      <c r="P41" s="118">
        <f t="shared" si="14"/>
        <v>4.0451612903225804</v>
      </c>
      <c r="Q41" s="116">
        <f>COUNTIFS('Daily KPI'!$D:$D,D41,'Daily KPI'!$O:$O,"&gt;0")</f>
        <v>0</v>
      </c>
      <c r="R41" s="119">
        <f t="shared" si="15"/>
        <v>0</v>
      </c>
      <c r="S41" s="119">
        <f>SUMIF($F$2:F41,F41,$R$2:R41)</f>
        <v>0</v>
      </c>
      <c r="T41" s="118">
        <f t="shared" si="16"/>
        <v>23.27264007257163</v>
      </c>
      <c r="U41" s="119">
        <f t="shared" si="17"/>
        <v>0</v>
      </c>
      <c r="V41" s="119">
        <f>SUMIF($F$2:F41,F41,$U$2:U41)</f>
        <v>0</v>
      </c>
      <c r="W41" s="120">
        <f t="shared" si="18"/>
        <v>0.12089582669739696</v>
      </c>
      <c r="X41" s="120" t="str">
        <f t="shared" si="26"/>
        <v/>
      </c>
      <c r="Y41" s="120" t="str">
        <f t="shared" si="9"/>
        <v/>
      </c>
      <c r="Z41" s="118" t="str">
        <f>IFERROR(AVERAGEIF('Daily KPI'!$D:$D,Table14[[#This Row],[Month]],'Daily KPI'!$AB:$AB),"")</f>
        <v/>
      </c>
      <c r="AA41" s="121">
        <f>IFERROR(AVERAGEIF($F$2:F41,F41,$N$2:N41),"")</f>
        <v>8.0208999999999993</v>
      </c>
      <c r="AB41" s="119"/>
      <c r="AC41" s="118"/>
      <c r="AD41" s="118"/>
      <c r="AE41" s="120">
        <v>0.98040000000000005</v>
      </c>
      <c r="AF41" s="120">
        <v>0.98</v>
      </c>
      <c r="AG41" s="120"/>
      <c r="AH41" s="120"/>
      <c r="AI41" s="120"/>
      <c r="AJ41" s="120"/>
      <c r="AK41" s="120"/>
      <c r="AL41" s="120"/>
      <c r="AM41" s="133"/>
      <c r="AN41" s="133"/>
      <c r="AO41" s="112">
        <v>8</v>
      </c>
    </row>
    <row r="42" spans="1:41" x14ac:dyDescent="0.3">
      <c r="A42" s="112">
        <f t="shared" si="10"/>
        <v>41</v>
      </c>
      <c r="B42" s="113" t="str">
        <f t="shared" si="24"/>
        <v>August</v>
      </c>
      <c r="C42" s="113">
        <f t="shared" si="24"/>
        <v>8</v>
      </c>
      <c r="D42" s="114">
        <v>44409</v>
      </c>
      <c r="E42" s="115">
        <f t="shared" si="22"/>
        <v>2021</v>
      </c>
      <c r="F42" s="115" t="s">
        <v>1166</v>
      </c>
      <c r="G42" s="116">
        <f t="shared" si="23"/>
        <v>31</v>
      </c>
      <c r="H42" s="121">
        <f t="shared" si="25"/>
        <v>134.6</v>
      </c>
      <c r="I42" s="121">
        <f t="shared" si="25"/>
        <v>130.69999999999999</v>
      </c>
      <c r="J42" s="118"/>
      <c r="K42" s="117"/>
      <c r="L42" s="116"/>
      <c r="M42" s="125">
        <f t="shared" si="21"/>
        <v>763.89018591146873</v>
      </c>
      <c r="N42" s="119">
        <v>8.0208999999999993</v>
      </c>
      <c r="O42" s="120">
        <f t="shared" si="13"/>
        <v>0.72867226748797886</v>
      </c>
      <c r="P42" s="118">
        <f t="shared" si="14"/>
        <v>4.2161290322580642</v>
      </c>
      <c r="Q42" s="116">
        <f>COUNTIFS('Daily KPI'!$D:$D,D42,'Daily KPI'!$O:$O,"&gt;0")</f>
        <v>0</v>
      </c>
      <c r="R42" s="119">
        <f t="shared" si="15"/>
        <v>0</v>
      </c>
      <c r="S42" s="119">
        <f>SUMIF($F$2:F42,F42,$R$2:R42)</f>
        <v>0</v>
      </c>
      <c r="T42" s="118">
        <f t="shared" si="16"/>
        <v>24.641618900369959</v>
      </c>
      <c r="U42" s="119">
        <f t="shared" si="17"/>
        <v>0</v>
      </c>
      <c r="V42" s="119">
        <f>SUMIF($F$2:F42,F42,$U$2:U42)</f>
        <v>0</v>
      </c>
      <c r="W42" s="120">
        <f t="shared" si="18"/>
        <v>0.12800734591489088</v>
      </c>
      <c r="X42" s="120" t="str">
        <f t="shared" si="26"/>
        <v/>
      </c>
      <c r="Y42" s="120" t="str">
        <f t="shared" si="9"/>
        <v/>
      </c>
      <c r="Z42" s="118" t="str">
        <f>IFERROR(AVERAGEIF('Daily KPI'!$D:$D,Table14[[#This Row],[Month]],'Daily KPI'!$AB:$AB),"")</f>
        <v/>
      </c>
      <c r="AA42" s="121">
        <f>IFERROR(AVERAGEIF($F$2:F42,F42,$N$2:N42),"")</f>
        <v>8.0208999999999993</v>
      </c>
      <c r="AB42" s="119"/>
      <c r="AC42" s="118"/>
      <c r="AD42" s="118"/>
      <c r="AE42" s="120">
        <v>0.98040000000000005</v>
      </c>
      <c r="AF42" s="120">
        <v>0.98</v>
      </c>
      <c r="AG42" s="120"/>
      <c r="AH42" s="120"/>
      <c r="AI42" s="120"/>
      <c r="AJ42" s="120"/>
      <c r="AK42" s="120"/>
      <c r="AL42" s="120"/>
      <c r="AM42" s="133"/>
      <c r="AN42" s="133"/>
      <c r="AO42" s="112">
        <v>8</v>
      </c>
    </row>
    <row r="43" spans="1:41" x14ac:dyDescent="0.3">
      <c r="A43" s="112">
        <f t="shared" si="10"/>
        <v>42</v>
      </c>
      <c r="B43" s="113" t="str">
        <f t="shared" si="24"/>
        <v>September</v>
      </c>
      <c r="C43" s="113">
        <f t="shared" si="24"/>
        <v>9</v>
      </c>
      <c r="D43" s="114">
        <v>44440</v>
      </c>
      <c r="E43" s="115">
        <f t="shared" si="22"/>
        <v>2021</v>
      </c>
      <c r="F43" s="115" t="s">
        <v>1166</v>
      </c>
      <c r="G43" s="116">
        <f t="shared" si="23"/>
        <v>30</v>
      </c>
      <c r="H43" s="121">
        <f t="shared" si="25"/>
        <v>142.5</v>
      </c>
      <c r="I43" s="121">
        <f t="shared" si="25"/>
        <v>145.4</v>
      </c>
      <c r="J43" s="118"/>
      <c r="K43" s="117"/>
      <c r="L43" s="116"/>
      <c r="M43" s="125">
        <f t="shared" si="21"/>
        <v>827.54770140409107</v>
      </c>
      <c r="N43" s="119">
        <v>8.0208999999999993</v>
      </c>
      <c r="O43" s="120">
        <f t="shared" si="13"/>
        <v>0.70958680060111445</v>
      </c>
      <c r="P43" s="118">
        <f t="shared" si="14"/>
        <v>4.8466666666666667</v>
      </c>
      <c r="Q43" s="116">
        <f>COUNTIFS('Daily KPI'!$D:$D,D43,'Daily KPI'!$O:$O,"&gt;0")</f>
        <v>0</v>
      </c>
      <c r="R43" s="119">
        <f t="shared" si="15"/>
        <v>0</v>
      </c>
      <c r="S43" s="119">
        <f>SUMIF($F$2:F97,F43,$R$2:R97)</f>
        <v>0</v>
      </c>
      <c r="T43" s="118">
        <f t="shared" si="16"/>
        <v>27.58492338013637</v>
      </c>
      <c r="U43" s="119">
        <f t="shared" si="17"/>
        <v>0</v>
      </c>
      <c r="V43" s="119">
        <f>SUMIF($F$2:F97,F43,$U$2:U97)</f>
        <v>0</v>
      </c>
      <c r="W43" s="120">
        <f t="shared" si="18"/>
        <v>0.14329711223250285</v>
      </c>
      <c r="X43" s="120" t="str">
        <f t="shared" si="26"/>
        <v/>
      </c>
      <c r="Y43" s="120" t="str">
        <f t="shared" si="9"/>
        <v/>
      </c>
      <c r="Z43" s="118" t="str">
        <f>IFERROR(AVERAGEIF('Daily KPI'!$D:$D,Table14[[#This Row],[Month]],'Daily KPI'!$AB:$AB),"")</f>
        <v/>
      </c>
      <c r="AA43" s="121">
        <f>IFERROR(AVERAGEIF($F$2:F97,F43,$N$2:N97),"")</f>
        <v>8.0208999999999993</v>
      </c>
      <c r="AB43" s="119"/>
      <c r="AC43" s="118"/>
      <c r="AD43" s="118"/>
      <c r="AE43" s="120">
        <v>0.98040000000000005</v>
      </c>
      <c r="AF43" s="120">
        <v>0.98</v>
      </c>
      <c r="AG43" s="120"/>
      <c r="AH43" s="120"/>
      <c r="AI43" s="120"/>
      <c r="AJ43" s="120"/>
      <c r="AK43" s="120"/>
      <c r="AL43" s="120"/>
      <c r="AM43" s="133"/>
      <c r="AN43" s="133"/>
      <c r="AO43" s="112">
        <v>8</v>
      </c>
    </row>
    <row r="44" spans="1:41" x14ac:dyDescent="0.3">
      <c r="A44" s="112">
        <f t="shared" si="10"/>
        <v>43</v>
      </c>
      <c r="B44" s="113" t="str">
        <f t="shared" si="24"/>
        <v>October</v>
      </c>
      <c r="C44" s="113">
        <f t="shared" si="24"/>
        <v>10</v>
      </c>
      <c r="D44" s="114">
        <v>44470</v>
      </c>
      <c r="E44" s="115">
        <f t="shared" si="22"/>
        <v>2021</v>
      </c>
      <c r="F44" s="115" t="s">
        <v>1166</v>
      </c>
      <c r="G44" s="116">
        <f t="shared" si="23"/>
        <v>31</v>
      </c>
      <c r="H44" s="121">
        <f t="shared" si="25"/>
        <v>145.69999999999999</v>
      </c>
      <c r="I44" s="121">
        <f t="shared" si="25"/>
        <v>158.80000000000001</v>
      </c>
      <c r="J44" s="118"/>
      <c r="K44" s="117"/>
      <c r="L44" s="116"/>
      <c r="M44" s="125">
        <f t="shared" si="21"/>
        <v>938.9483535161803</v>
      </c>
      <c r="N44" s="119">
        <v>8.0208999999999993</v>
      </c>
      <c r="O44" s="120">
        <f t="shared" si="13"/>
        <v>0.73717076724916697</v>
      </c>
      <c r="P44" s="118">
        <f t="shared" si="14"/>
        <v>5.1225806451612907</v>
      </c>
      <c r="Q44" s="116">
        <f>COUNTIFS('Daily KPI'!$D:$D,D44,'Daily KPI'!$O:$O,"&gt;0")</f>
        <v>0</v>
      </c>
      <c r="R44" s="119">
        <f t="shared" si="15"/>
        <v>0</v>
      </c>
      <c r="S44" s="119">
        <f>SUMIF($F$2:F44,F44,$R$2:R44)</f>
        <v>0</v>
      </c>
      <c r="T44" s="118">
        <f t="shared" si="16"/>
        <v>30.288656565038075</v>
      </c>
      <c r="U44" s="119">
        <f t="shared" si="17"/>
        <v>0</v>
      </c>
      <c r="V44" s="119">
        <f>SUMIF($F$2:F44,F44,$U$2:U44)</f>
        <v>0</v>
      </c>
      <c r="W44" s="120">
        <f t="shared" si="18"/>
        <v>0.15734236268705337</v>
      </c>
      <c r="X44" s="120" t="str">
        <f t="shared" si="26"/>
        <v/>
      </c>
      <c r="Y44" s="120" t="str">
        <f t="shared" si="9"/>
        <v/>
      </c>
      <c r="Z44" s="118" t="str">
        <f>IFERROR(AVERAGEIF('Daily KPI'!$D:$D,Table14[[#This Row],[Month]],'Daily KPI'!$AB:$AB),"")</f>
        <v/>
      </c>
      <c r="AA44" s="121">
        <f>IFERROR(AVERAGEIF($F$2:F44,F44,$N$2:N44),"")</f>
        <v>8.0208999999999993</v>
      </c>
      <c r="AB44" s="119"/>
      <c r="AC44" s="118"/>
      <c r="AD44" s="118"/>
      <c r="AE44" s="120">
        <v>0.98040000000000005</v>
      </c>
      <c r="AF44" s="120">
        <v>0.98</v>
      </c>
      <c r="AG44" s="120"/>
      <c r="AH44" s="120"/>
      <c r="AI44" s="120"/>
      <c r="AJ44" s="120"/>
      <c r="AK44" s="120"/>
      <c r="AL44" s="120"/>
      <c r="AM44" s="133"/>
      <c r="AN44" s="133"/>
      <c r="AO44" s="112">
        <v>8</v>
      </c>
    </row>
    <row r="45" spans="1:41" x14ac:dyDescent="0.3">
      <c r="A45" s="112">
        <f t="shared" si="10"/>
        <v>44</v>
      </c>
      <c r="B45" s="113" t="str">
        <f t="shared" si="24"/>
        <v>November</v>
      </c>
      <c r="C45" s="113">
        <f t="shared" si="24"/>
        <v>11</v>
      </c>
      <c r="D45" s="114">
        <v>44501</v>
      </c>
      <c r="E45" s="115">
        <f t="shared" si="22"/>
        <v>2021</v>
      </c>
      <c r="F45" s="115" t="s">
        <v>1166</v>
      </c>
      <c r="G45" s="116">
        <f t="shared" si="23"/>
        <v>30</v>
      </c>
      <c r="H45" s="121">
        <f t="shared" si="25"/>
        <v>138.9</v>
      </c>
      <c r="I45" s="121">
        <f t="shared" si="25"/>
        <v>163</v>
      </c>
      <c r="J45" s="118"/>
      <c r="K45" s="117"/>
      <c r="L45" s="116"/>
      <c r="M45" s="125">
        <f t="shared" si="21"/>
        <v>944.25314647389882</v>
      </c>
      <c r="N45" s="119">
        <v>8.0208999999999993</v>
      </c>
      <c r="O45" s="120">
        <f t="shared" si="13"/>
        <v>0.7222336756220531</v>
      </c>
      <c r="P45" s="118">
        <f t="shared" si="14"/>
        <v>5.4333333333333336</v>
      </c>
      <c r="Q45" s="116">
        <f>COUNTIFS('Daily KPI'!$D:$D,D45,'Daily KPI'!$O:$O,"&gt;0")</f>
        <v>0</v>
      </c>
      <c r="R45" s="119">
        <f t="shared" si="15"/>
        <v>0</v>
      </c>
      <c r="S45" s="119">
        <f>SUMIF($F$2:F45,F45,$R$2:R45)</f>
        <v>0</v>
      </c>
      <c r="T45" s="118">
        <f t="shared" si="16"/>
        <v>31.475104882463295</v>
      </c>
      <c r="U45" s="119">
        <f t="shared" si="17"/>
        <v>0</v>
      </c>
      <c r="V45" s="119">
        <f>SUMIF($F$2:F45,F45,$U$2:U45)</f>
        <v>0</v>
      </c>
      <c r="W45" s="120">
        <f t="shared" si="18"/>
        <v>0.1635056793422148</v>
      </c>
      <c r="X45" s="120" t="str">
        <f t="shared" si="26"/>
        <v/>
      </c>
      <c r="Y45" s="120" t="str">
        <f t="shared" si="9"/>
        <v/>
      </c>
      <c r="Z45" s="118" t="str">
        <f>IFERROR(AVERAGEIF('Daily KPI'!$D:$D,Table14[[#This Row],[Month]],'Daily KPI'!$AB:$AB),"")</f>
        <v/>
      </c>
      <c r="AA45" s="121">
        <f>IFERROR(AVERAGEIF($F$2:F45,F45,$N$2:N45),"")</f>
        <v>8.0208999999999993</v>
      </c>
      <c r="AB45" s="119"/>
      <c r="AC45" s="118"/>
      <c r="AD45" s="118"/>
      <c r="AE45" s="120">
        <v>0.98040000000000005</v>
      </c>
      <c r="AF45" s="120">
        <v>0.98</v>
      </c>
      <c r="AG45" s="120"/>
      <c r="AH45" s="120"/>
      <c r="AI45" s="120"/>
      <c r="AJ45" s="120"/>
      <c r="AK45" s="120"/>
      <c r="AL45" s="120"/>
      <c r="AM45" s="133"/>
      <c r="AN45" s="133"/>
      <c r="AO45" s="112">
        <v>8</v>
      </c>
    </row>
    <row r="46" spans="1:41" x14ac:dyDescent="0.3">
      <c r="A46" s="112">
        <f t="shared" si="10"/>
        <v>45</v>
      </c>
      <c r="B46" s="113" t="str">
        <f t="shared" si="24"/>
        <v>December</v>
      </c>
      <c r="C46" s="113">
        <f t="shared" si="24"/>
        <v>12</v>
      </c>
      <c r="D46" s="114">
        <v>44531</v>
      </c>
      <c r="E46" s="115">
        <f t="shared" si="22"/>
        <v>2021</v>
      </c>
      <c r="F46" s="115" t="s">
        <v>1166</v>
      </c>
      <c r="G46" s="116">
        <f t="shared" si="23"/>
        <v>31</v>
      </c>
      <c r="H46" s="121">
        <f t="shared" si="25"/>
        <v>134.69999999999999</v>
      </c>
      <c r="I46" s="121">
        <f t="shared" si="25"/>
        <v>163.69999999999999</v>
      </c>
      <c r="J46" s="118"/>
      <c r="K46" s="117"/>
      <c r="L46" s="116"/>
      <c r="M46" s="125">
        <f t="shared" si="21"/>
        <v>981.38669717792857</v>
      </c>
      <c r="N46" s="119">
        <v>8.0208999999999993</v>
      </c>
      <c r="O46" s="120">
        <f t="shared" si="13"/>
        <v>0.74742631726929265</v>
      </c>
      <c r="P46" s="118">
        <f t="shared" si="14"/>
        <v>5.2806451612903222</v>
      </c>
      <c r="Q46" s="116">
        <f>COUNTIFS('Daily KPI'!$D:$D,D46,'Daily KPI'!$O:$O,"&gt;0")</f>
        <v>0</v>
      </c>
      <c r="R46" s="119">
        <f t="shared" si="15"/>
        <v>0</v>
      </c>
      <c r="S46" s="119">
        <f>SUMIF($F$2:F46,F46,$R$2:R46)</f>
        <v>0</v>
      </c>
      <c r="T46" s="118">
        <f t="shared" si="16"/>
        <v>31.657635392836404</v>
      </c>
      <c r="U46" s="119">
        <f t="shared" si="17"/>
        <v>0</v>
      </c>
      <c r="V46" s="119">
        <f>SUMIF($F$2:F46,F46,$U$2:U46)</f>
        <v>0</v>
      </c>
      <c r="W46" s="120">
        <f t="shared" si="18"/>
        <v>0.16445388190454732</v>
      </c>
      <c r="X46" s="120" t="str">
        <f t="shared" si="26"/>
        <v/>
      </c>
      <c r="Y46" s="120" t="str">
        <f t="shared" si="9"/>
        <v/>
      </c>
      <c r="Z46" s="118" t="str">
        <f>IFERROR(AVERAGEIF('Daily KPI'!$D:$D,Table14[[#This Row],[Month]],'Daily KPI'!$AB:$AB),"")</f>
        <v/>
      </c>
      <c r="AA46" s="121">
        <f>IFERROR(AVERAGEIF($F$2:F46,F46,$N$2:N46),"")</f>
        <v>8.0208999999999993</v>
      </c>
      <c r="AB46" s="119"/>
      <c r="AC46" s="118"/>
      <c r="AD46" s="118"/>
      <c r="AE46" s="120">
        <v>0.98040000000000005</v>
      </c>
      <c r="AF46" s="120">
        <v>0.98</v>
      </c>
      <c r="AG46" s="120"/>
      <c r="AH46" s="120"/>
      <c r="AI46" s="120"/>
      <c r="AJ46" s="120"/>
      <c r="AK46" s="120"/>
      <c r="AL46" s="120"/>
      <c r="AM46" s="133"/>
      <c r="AN46" s="133"/>
      <c r="AO46" s="112">
        <v>8</v>
      </c>
    </row>
    <row r="47" spans="1:41" x14ac:dyDescent="0.3">
      <c r="A47" s="112">
        <f t="shared" si="10"/>
        <v>46</v>
      </c>
      <c r="B47" s="113" t="str">
        <f t="shared" ref="B47:C62" si="27">B35</f>
        <v>January</v>
      </c>
      <c r="C47" s="113">
        <f t="shared" si="27"/>
        <v>1</v>
      </c>
      <c r="D47" s="114">
        <v>44562</v>
      </c>
      <c r="E47" s="115">
        <f t="shared" si="22"/>
        <v>2022</v>
      </c>
      <c r="F47" s="115" t="s">
        <v>1166</v>
      </c>
      <c r="G47" s="116">
        <f t="shared" si="23"/>
        <v>31</v>
      </c>
      <c r="H47" s="121">
        <f t="shared" ref="H47:I62" si="28">H35</f>
        <v>151.6</v>
      </c>
      <c r="I47" s="121">
        <f t="shared" si="28"/>
        <v>183.9</v>
      </c>
      <c r="J47" s="118"/>
      <c r="K47" s="117"/>
      <c r="L47" s="116"/>
      <c r="M47" s="125">
        <f t="shared" si="21"/>
        <v>1087.4825563322993</v>
      </c>
      <c r="N47" s="119">
        <v>8.0208999999999993</v>
      </c>
      <c r="O47" s="120">
        <f t="shared" si="13"/>
        <v>0.73725456161784642</v>
      </c>
      <c r="P47" s="118">
        <f t="shared" si="14"/>
        <v>5.9322580645161294</v>
      </c>
      <c r="Q47" s="116">
        <f>COUNTIFS('Daily KPI'!$D:$D,D47,'Daily KPI'!$O:$O,"&gt;0")</f>
        <v>0</v>
      </c>
      <c r="R47" s="119">
        <f t="shared" si="15"/>
        <v>0</v>
      </c>
      <c r="S47" s="119">
        <f>SUMIF($F$2:F47,F47,$R$2:R47)</f>
        <v>0</v>
      </c>
      <c r="T47" s="118">
        <f t="shared" si="16"/>
        <v>35.080082462332236</v>
      </c>
      <c r="U47" s="119">
        <f t="shared" si="17"/>
        <v>0</v>
      </c>
      <c r="V47" s="119">
        <f>SUMIF($F$2:F47,F47,$U$2:U47)</f>
        <v>0</v>
      </c>
      <c r="W47" s="120">
        <f t="shared" si="18"/>
        <v>0.18223267994828218</v>
      </c>
      <c r="X47" s="120" t="str">
        <f t="shared" si="26"/>
        <v/>
      </c>
      <c r="Y47" s="120" t="str">
        <f t="shared" si="9"/>
        <v/>
      </c>
      <c r="Z47" s="118" t="str">
        <f>IFERROR(AVERAGEIF('Daily KPI'!$D:$D,Table14[[#This Row],[Month]],'Daily KPI'!$AB:$AB),"")</f>
        <v/>
      </c>
      <c r="AA47" s="121">
        <f>IFERROR(AVERAGEIF($F$2:F47,F47,$N$2:N47),"")</f>
        <v>8.0208999999999993</v>
      </c>
      <c r="AB47" s="119"/>
      <c r="AC47" s="118"/>
      <c r="AD47" s="118"/>
      <c r="AE47" s="120">
        <v>0.98040000000000005</v>
      </c>
      <c r="AF47" s="120">
        <v>0.98</v>
      </c>
      <c r="AG47" s="120"/>
      <c r="AH47" s="120"/>
      <c r="AI47" s="120"/>
      <c r="AJ47" s="120"/>
      <c r="AK47" s="120"/>
      <c r="AL47" s="120"/>
      <c r="AM47" s="133"/>
      <c r="AN47" s="133"/>
      <c r="AO47" s="112">
        <v>8</v>
      </c>
    </row>
    <row r="48" spans="1:41" x14ac:dyDescent="0.3">
      <c r="A48" s="112">
        <f t="shared" si="10"/>
        <v>47</v>
      </c>
      <c r="B48" s="113" t="str">
        <f t="shared" si="27"/>
        <v>February</v>
      </c>
      <c r="C48" s="113">
        <f t="shared" si="27"/>
        <v>2</v>
      </c>
      <c r="D48" s="114">
        <v>44593</v>
      </c>
      <c r="E48" s="115">
        <f t="shared" si="22"/>
        <v>2022</v>
      </c>
      <c r="F48" s="115" t="s">
        <v>1166</v>
      </c>
      <c r="G48" s="116">
        <f t="shared" si="23"/>
        <v>28</v>
      </c>
      <c r="H48" s="121">
        <f t="shared" si="28"/>
        <v>159.9</v>
      </c>
      <c r="I48" s="121">
        <f t="shared" si="28"/>
        <v>184</v>
      </c>
      <c r="J48" s="118"/>
      <c r="K48" s="117"/>
      <c r="L48" s="116"/>
      <c r="M48" s="125">
        <f t="shared" si="21"/>
        <v>1038.6058690088</v>
      </c>
      <c r="N48" s="119">
        <v>8.0208999999999993</v>
      </c>
      <c r="O48" s="120">
        <f t="shared" si="13"/>
        <v>0.70373612863622048</v>
      </c>
      <c r="P48" s="118">
        <f t="shared" si="14"/>
        <v>6.5714285714285712</v>
      </c>
      <c r="Q48" s="116">
        <f>COUNTIFS('Daily KPI'!$D:$D,D48,'Daily KPI'!$O:$O,"&gt;0")</f>
        <v>0</v>
      </c>
      <c r="R48" s="119">
        <f t="shared" si="15"/>
        <v>0</v>
      </c>
      <c r="S48" s="119">
        <f>SUMIF($F$2:F48,F48,$R$2:R48)</f>
        <v>0</v>
      </c>
      <c r="T48" s="118">
        <f t="shared" si="16"/>
        <v>37.093066750314286</v>
      </c>
      <c r="U48" s="119">
        <f t="shared" si="17"/>
        <v>0</v>
      </c>
      <c r="V48" s="119">
        <f>SUMIF($F$2:F48,F48,$U$2:U48)</f>
        <v>0</v>
      </c>
      <c r="W48" s="120">
        <f t="shared" si="18"/>
        <v>0.19268965426944132</v>
      </c>
      <c r="X48" s="120" t="str">
        <f t="shared" si="26"/>
        <v/>
      </c>
      <c r="Y48" s="120" t="str">
        <f t="shared" si="9"/>
        <v/>
      </c>
      <c r="Z48" s="118" t="str">
        <f>IFERROR(AVERAGEIF('Daily KPI'!$D:$D,Table14[[#This Row],[Month]],'Daily KPI'!$AB:$AB),"")</f>
        <v/>
      </c>
      <c r="AA48" s="121">
        <f>IFERROR(AVERAGEIF($F$2:F48,F48,$N$2:N48),"")</f>
        <v>8.0208999999999993</v>
      </c>
      <c r="AB48" s="119"/>
      <c r="AC48" s="118"/>
      <c r="AD48" s="118"/>
      <c r="AE48" s="120">
        <v>0.98040000000000005</v>
      </c>
      <c r="AF48" s="120">
        <v>0.98</v>
      </c>
      <c r="AG48" s="120"/>
      <c r="AH48" s="120"/>
      <c r="AI48" s="120"/>
      <c r="AJ48" s="120"/>
      <c r="AK48" s="120"/>
      <c r="AL48" s="120"/>
      <c r="AM48" s="133"/>
      <c r="AN48" s="133"/>
      <c r="AO48" s="112">
        <v>8</v>
      </c>
    </row>
    <row r="49" spans="1:41" x14ac:dyDescent="0.3">
      <c r="A49" s="112">
        <f t="shared" si="10"/>
        <v>48</v>
      </c>
      <c r="B49" s="113" t="str">
        <f t="shared" si="27"/>
        <v>March</v>
      </c>
      <c r="C49" s="113">
        <f t="shared" si="27"/>
        <v>3</v>
      </c>
      <c r="D49" s="114">
        <v>44621</v>
      </c>
      <c r="E49" s="115">
        <f t="shared" si="22"/>
        <v>2022</v>
      </c>
      <c r="F49" s="115" t="s">
        <v>1166</v>
      </c>
      <c r="G49" s="116">
        <f t="shared" si="23"/>
        <v>31</v>
      </c>
      <c r="H49" s="121">
        <f t="shared" si="28"/>
        <v>197.2</v>
      </c>
      <c r="I49" s="121">
        <f t="shared" si="28"/>
        <v>210.4</v>
      </c>
      <c r="J49" s="118"/>
      <c r="K49" s="117"/>
      <c r="L49" s="116"/>
      <c r="M49" s="125">
        <f t="shared" si="21"/>
        <v>1204.1880014021069</v>
      </c>
      <c r="N49" s="119">
        <v>8.0208999999999993</v>
      </c>
      <c r="O49" s="120">
        <f t="shared" si="13"/>
        <v>0.71355172148533519</v>
      </c>
      <c r="P49" s="118">
        <f t="shared" si="14"/>
        <v>6.7870967741935484</v>
      </c>
      <c r="Q49" s="116">
        <f>COUNTIFS('Daily KPI'!$D:$D,D49,'Daily KPI'!$O:$O,"&gt;0")</f>
        <v>0</v>
      </c>
      <c r="R49" s="119">
        <f t="shared" si="15"/>
        <v>0</v>
      </c>
      <c r="S49" s="119">
        <f>SUMIF($F$2:F97,F49,$R$2:R97)</f>
        <v>0</v>
      </c>
      <c r="T49" s="118">
        <f t="shared" si="16"/>
        <v>38.844774238777646</v>
      </c>
      <c r="U49" s="119">
        <f t="shared" si="17"/>
        <v>0</v>
      </c>
      <c r="V49" s="119">
        <f>SUMIF($F$2:F97,F49,$U$2:U97)</f>
        <v>0</v>
      </c>
      <c r="W49" s="120">
        <f t="shared" si="18"/>
        <v>0.20178935779639051</v>
      </c>
      <c r="X49" s="120" t="str">
        <f t="shared" si="26"/>
        <v/>
      </c>
      <c r="Y49" s="120" t="str">
        <f t="shared" si="9"/>
        <v/>
      </c>
      <c r="Z49" s="118" t="str">
        <f>IFERROR(AVERAGEIF('Daily KPI'!$D:$D,Table14[[#This Row],[Month]],'Daily KPI'!$AB:$AB),"")</f>
        <v/>
      </c>
      <c r="AA49" s="121">
        <f>IFERROR(AVERAGEIF($F$2:F97,F49,$N$2:N97),"")</f>
        <v>8.0208999999999993</v>
      </c>
      <c r="AB49" s="119"/>
      <c r="AC49" s="118"/>
      <c r="AD49" s="118"/>
      <c r="AE49" s="120">
        <v>0.98040000000000005</v>
      </c>
      <c r="AF49" s="120">
        <v>0.98</v>
      </c>
      <c r="AG49" s="120"/>
      <c r="AH49" s="120"/>
      <c r="AI49" s="120"/>
      <c r="AJ49" s="120"/>
      <c r="AK49" s="120"/>
      <c r="AL49" s="120"/>
      <c r="AM49" s="133"/>
      <c r="AN49" s="133"/>
      <c r="AO49" s="112">
        <v>8</v>
      </c>
    </row>
    <row r="50" spans="1:41" x14ac:dyDescent="0.3">
      <c r="A50" s="112">
        <f t="shared" si="10"/>
        <v>49</v>
      </c>
      <c r="B50" s="113" t="str">
        <f t="shared" si="27"/>
        <v>April</v>
      </c>
      <c r="C50" s="113">
        <f t="shared" si="27"/>
        <v>4</v>
      </c>
      <c r="D50" s="114">
        <v>44652</v>
      </c>
      <c r="E50" s="115">
        <f t="shared" si="22"/>
        <v>2022</v>
      </c>
      <c r="F50" s="115" t="s">
        <v>1167</v>
      </c>
      <c r="G50" s="116">
        <f t="shared" si="23"/>
        <v>30</v>
      </c>
      <c r="H50" s="121">
        <f t="shared" si="28"/>
        <v>193.6</v>
      </c>
      <c r="I50" s="121">
        <f t="shared" si="28"/>
        <v>191.7</v>
      </c>
      <c r="J50" s="118"/>
      <c r="K50" s="117"/>
      <c r="L50" s="116"/>
      <c r="M50" s="125">
        <f t="shared" si="21"/>
        <v>1055.6537985859879</v>
      </c>
      <c r="N50" s="119">
        <v>8.0208999999999993</v>
      </c>
      <c r="O50" s="120">
        <f t="shared" si="13"/>
        <v>0.68655652664663702</v>
      </c>
      <c r="P50" s="118">
        <f t="shared" si="14"/>
        <v>6.39</v>
      </c>
      <c r="Q50" s="116">
        <f>COUNTIFS('Daily KPI'!$D:$D,D50,'Daily KPI'!$O:$O,"&gt;0")</f>
        <v>0</v>
      </c>
      <c r="R50" s="119">
        <f t="shared" si="15"/>
        <v>0</v>
      </c>
      <c r="S50" s="119">
        <f>SUMIF($F$2:F50,F50,$R$2:R50)</f>
        <v>0</v>
      </c>
      <c r="T50" s="118">
        <f t="shared" si="16"/>
        <v>35.188459952866268</v>
      </c>
      <c r="U50" s="119">
        <f t="shared" si="17"/>
        <v>0</v>
      </c>
      <c r="V50" s="119">
        <f>SUMIF($F$2:F50,F50,$U$2:U50)</f>
        <v>0</v>
      </c>
      <c r="W50" s="120">
        <f t="shared" si="18"/>
        <v>0.18279567521966711</v>
      </c>
      <c r="X50" s="120" t="str">
        <f t="shared" si="26"/>
        <v/>
      </c>
      <c r="Y50" s="120" t="str">
        <f t="shared" si="9"/>
        <v/>
      </c>
      <c r="Z50" s="118" t="str">
        <f>IFERROR(AVERAGEIF('Daily KPI'!$D:$D,Table14[[#This Row],[Month]],'Daily KPI'!$AB:$AB),"")</f>
        <v/>
      </c>
      <c r="AA50" s="121">
        <f>IFERROR(AVERAGEIF($F$2:F50,F50,$N$2:N50),"")</f>
        <v>8.0208999999999993</v>
      </c>
      <c r="AB50" s="119"/>
      <c r="AC50" s="118"/>
      <c r="AD50" s="118"/>
      <c r="AE50" s="120">
        <v>0.98040000000000005</v>
      </c>
      <c r="AF50" s="120">
        <v>0.98</v>
      </c>
      <c r="AG50" s="120"/>
      <c r="AH50" s="120"/>
      <c r="AI50" s="120"/>
      <c r="AJ50" s="120"/>
      <c r="AK50" s="120"/>
      <c r="AL50" s="120"/>
      <c r="AM50" s="133"/>
      <c r="AN50" s="133"/>
      <c r="AO50" s="112">
        <v>8</v>
      </c>
    </row>
    <row r="51" spans="1:41" x14ac:dyDescent="0.3">
      <c r="A51" s="112">
        <f t="shared" si="10"/>
        <v>50</v>
      </c>
      <c r="B51" s="113" t="str">
        <f t="shared" si="27"/>
        <v>May</v>
      </c>
      <c r="C51" s="113">
        <f t="shared" si="27"/>
        <v>5</v>
      </c>
      <c r="D51" s="114">
        <v>44682</v>
      </c>
      <c r="E51" s="115">
        <f t="shared" si="22"/>
        <v>2022</v>
      </c>
      <c r="F51" s="115" t="s">
        <v>1167</v>
      </c>
      <c r="G51" s="116">
        <f t="shared" si="23"/>
        <v>31</v>
      </c>
      <c r="H51" s="121">
        <f t="shared" si="28"/>
        <v>198.6</v>
      </c>
      <c r="I51" s="121">
        <f t="shared" si="28"/>
        <v>186.4</v>
      </c>
      <c r="J51" s="118"/>
      <c r="K51" s="117"/>
      <c r="L51" s="116"/>
      <c r="M51" s="125">
        <f t="shared" si="21"/>
        <v>1060.9585915437065</v>
      </c>
      <c r="N51" s="119">
        <v>8.0208999999999993</v>
      </c>
      <c r="O51" s="120">
        <f t="shared" si="13"/>
        <v>0.70962584466409462</v>
      </c>
      <c r="P51" s="118">
        <f t="shared" si="14"/>
        <v>6.0129032258064514</v>
      </c>
      <c r="Q51" s="116">
        <f>COUNTIFS('Daily KPI'!$D:$D,D51,'Daily KPI'!$O:$O,"&gt;0")</f>
        <v>0</v>
      </c>
      <c r="R51" s="119">
        <f t="shared" si="15"/>
        <v>0</v>
      </c>
      <c r="S51" s="119">
        <f>SUMIF($F$2:F51,F51,$R$2:R51)</f>
        <v>0</v>
      </c>
      <c r="T51" s="118">
        <f t="shared" si="16"/>
        <v>34.224470694958271</v>
      </c>
      <c r="U51" s="119">
        <f t="shared" si="17"/>
        <v>0</v>
      </c>
      <c r="V51" s="119">
        <f>SUMIF($F$2:F51,F51,$U$2:U51)</f>
        <v>0</v>
      </c>
      <c r="W51" s="120">
        <f t="shared" si="18"/>
        <v>0.17778798043734842</v>
      </c>
      <c r="X51" s="120" t="str">
        <f t="shared" si="26"/>
        <v/>
      </c>
      <c r="Y51" s="120" t="str">
        <f t="shared" si="9"/>
        <v/>
      </c>
      <c r="Z51" s="118" t="str">
        <f>IFERROR(AVERAGEIF('Daily KPI'!$D:$D,Table14[[#This Row],[Month]],'Daily KPI'!$AB:$AB),"")</f>
        <v/>
      </c>
      <c r="AA51" s="121">
        <f>IFERROR(AVERAGEIF($F$2:F51,F51,$N$2:N51),"")</f>
        <v>8.0208999999999993</v>
      </c>
      <c r="AB51" s="119"/>
      <c r="AC51" s="118"/>
      <c r="AD51" s="118"/>
      <c r="AE51" s="120">
        <v>0.98040000000000005</v>
      </c>
      <c r="AF51" s="120">
        <v>0.98</v>
      </c>
      <c r="AG51" s="120"/>
      <c r="AH51" s="120"/>
      <c r="AI51" s="120"/>
      <c r="AJ51" s="120"/>
      <c r="AK51" s="120"/>
      <c r="AL51" s="120"/>
      <c r="AM51" s="133"/>
      <c r="AN51" s="133"/>
      <c r="AO51" s="112">
        <v>8</v>
      </c>
    </row>
    <row r="52" spans="1:41" x14ac:dyDescent="0.3">
      <c r="A52" s="112">
        <f t="shared" si="10"/>
        <v>51</v>
      </c>
      <c r="B52" s="113" t="str">
        <f t="shared" si="27"/>
        <v>June</v>
      </c>
      <c r="C52" s="113">
        <f t="shared" si="27"/>
        <v>6</v>
      </c>
      <c r="D52" s="114">
        <v>44713</v>
      </c>
      <c r="E52" s="115">
        <f t="shared" si="22"/>
        <v>2022</v>
      </c>
      <c r="F52" s="115" t="s">
        <v>1167</v>
      </c>
      <c r="G52" s="116">
        <f t="shared" si="23"/>
        <v>30</v>
      </c>
      <c r="H52" s="121">
        <f t="shared" si="28"/>
        <v>154.80000000000001</v>
      </c>
      <c r="I52" s="121">
        <f t="shared" si="28"/>
        <v>142.80000000000001</v>
      </c>
      <c r="J52" s="118"/>
      <c r="K52" s="117"/>
      <c r="L52" s="116"/>
      <c r="M52" s="125">
        <f t="shared" si="21"/>
        <v>790.41415070006133</v>
      </c>
      <c r="N52" s="119">
        <v>8.0208999999999993</v>
      </c>
      <c r="O52" s="120">
        <f t="shared" si="13"/>
        <v>0.6900862870925315</v>
      </c>
      <c r="P52" s="118">
        <f t="shared" si="14"/>
        <v>4.7600000000000007</v>
      </c>
      <c r="Q52" s="116">
        <f>COUNTIFS('Daily KPI'!$D:$D,D52,'Daily KPI'!$O:$O,"&gt;0")</f>
        <v>0</v>
      </c>
      <c r="R52" s="119">
        <f t="shared" si="15"/>
        <v>0</v>
      </c>
      <c r="S52" s="119">
        <f>SUMIF($F$2:F52,F52,$R$2:R52)</f>
        <v>0</v>
      </c>
      <c r="T52" s="118">
        <f t="shared" si="16"/>
        <v>26.347138356668712</v>
      </c>
      <c r="U52" s="119">
        <f t="shared" si="17"/>
        <v>0</v>
      </c>
      <c r="V52" s="119">
        <f>SUMIF($F$2:F52,F52,$U$2:U52)</f>
        <v>0</v>
      </c>
      <c r="W52" s="120">
        <f t="shared" si="18"/>
        <v>0.13686711360668541</v>
      </c>
      <c r="X52" s="120" t="str">
        <f t="shared" si="26"/>
        <v/>
      </c>
      <c r="Y52" s="120" t="str">
        <f t="shared" si="9"/>
        <v/>
      </c>
      <c r="Z52" s="118" t="str">
        <f>IFERROR(AVERAGEIF('Daily KPI'!$D:$D,Table14[[#This Row],[Month]],'Daily KPI'!$AB:$AB),"")</f>
        <v/>
      </c>
      <c r="AA52" s="121">
        <f>IFERROR(AVERAGEIF($F$2:F52,F52,$N$2:N52),"")</f>
        <v>8.0208999999999993</v>
      </c>
      <c r="AB52" s="119"/>
      <c r="AC52" s="118"/>
      <c r="AD52" s="118"/>
      <c r="AE52" s="120">
        <v>0.98040000000000005</v>
      </c>
      <c r="AF52" s="120">
        <v>0.98</v>
      </c>
      <c r="AG52" s="120"/>
      <c r="AH52" s="120"/>
      <c r="AI52" s="120"/>
      <c r="AJ52" s="120"/>
      <c r="AK52" s="120"/>
      <c r="AL52" s="120"/>
      <c r="AM52" s="133"/>
      <c r="AN52" s="133"/>
      <c r="AO52" s="112">
        <v>8</v>
      </c>
    </row>
    <row r="53" spans="1:41" x14ac:dyDescent="0.3">
      <c r="A53" s="112">
        <f t="shared" si="10"/>
        <v>52</v>
      </c>
      <c r="B53" s="113" t="str">
        <f t="shared" si="27"/>
        <v>July</v>
      </c>
      <c r="C53" s="113">
        <f t="shared" si="27"/>
        <v>7</v>
      </c>
      <c r="D53" s="114">
        <v>44743</v>
      </c>
      <c r="E53" s="115">
        <f t="shared" si="22"/>
        <v>2022</v>
      </c>
      <c r="F53" s="115" t="s">
        <v>1167</v>
      </c>
      <c r="G53" s="116">
        <f t="shared" si="23"/>
        <v>31</v>
      </c>
      <c r="H53" s="121">
        <f t="shared" si="28"/>
        <v>134.4</v>
      </c>
      <c r="I53" s="121">
        <f t="shared" si="28"/>
        <v>125.4</v>
      </c>
      <c r="J53" s="118"/>
      <c r="K53" s="117"/>
      <c r="L53" s="116"/>
      <c r="M53" s="125">
        <f t="shared" si="21"/>
        <v>721.45184224972047</v>
      </c>
      <c r="N53" s="119">
        <v>8.0208999999999993</v>
      </c>
      <c r="O53" s="120">
        <f t="shared" si="13"/>
        <v>0.71727667514245075</v>
      </c>
      <c r="P53" s="118">
        <f t="shared" si="14"/>
        <v>4.0451612903225804</v>
      </c>
      <c r="Q53" s="116">
        <f>COUNTIFS('Daily KPI'!$D:$D,D53,'Daily KPI'!$O:$O,"&gt;0")</f>
        <v>0</v>
      </c>
      <c r="R53" s="119">
        <f t="shared" si="15"/>
        <v>0</v>
      </c>
      <c r="S53" s="119">
        <f>SUMIF($F$2:F53,F53,$R$2:R53)</f>
        <v>0</v>
      </c>
      <c r="T53" s="118">
        <f t="shared" si="16"/>
        <v>23.27264007257163</v>
      </c>
      <c r="U53" s="119">
        <f t="shared" si="17"/>
        <v>0</v>
      </c>
      <c r="V53" s="119">
        <f>SUMIF($F$2:F53,F53,$U$2:U53)</f>
        <v>0</v>
      </c>
      <c r="W53" s="120">
        <f t="shared" si="18"/>
        <v>0.12089582669739696</v>
      </c>
      <c r="X53" s="120" t="str">
        <f t="shared" si="26"/>
        <v/>
      </c>
      <c r="Y53" s="120" t="str">
        <f t="shared" si="9"/>
        <v/>
      </c>
      <c r="Z53" s="118" t="str">
        <f>IFERROR(AVERAGEIF('Daily KPI'!$D:$D,Table14[[#This Row],[Month]],'Daily KPI'!$AB:$AB),"")</f>
        <v/>
      </c>
      <c r="AA53" s="121">
        <f>IFERROR(AVERAGEIF($F$2:F53,F53,$N$2:N53),"")</f>
        <v>8.0208999999999993</v>
      </c>
      <c r="AB53" s="119"/>
      <c r="AC53" s="118"/>
      <c r="AD53" s="118"/>
      <c r="AE53" s="120">
        <v>0.98040000000000005</v>
      </c>
      <c r="AF53" s="120">
        <v>0.98</v>
      </c>
      <c r="AG53" s="120"/>
      <c r="AH53" s="120"/>
      <c r="AI53" s="120"/>
      <c r="AJ53" s="120"/>
      <c r="AK53" s="120"/>
      <c r="AL53" s="120"/>
      <c r="AM53" s="133"/>
      <c r="AN53" s="133"/>
      <c r="AO53" s="112">
        <v>8</v>
      </c>
    </row>
    <row r="54" spans="1:41" x14ac:dyDescent="0.3">
      <c r="A54" s="112">
        <f t="shared" si="10"/>
        <v>53</v>
      </c>
      <c r="B54" s="113" t="str">
        <f t="shared" si="27"/>
        <v>August</v>
      </c>
      <c r="C54" s="113">
        <f t="shared" si="27"/>
        <v>8</v>
      </c>
      <c r="D54" s="114">
        <v>44774</v>
      </c>
      <c r="E54" s="115">
        <f t="shared" si="22"/>
        <v>2022</v>
      </c>
      <c r="F54" s="115" t="s">
        <v>1167</v>
      </c>
      <c r="G54" s="116">
        <f t="shared" si="23"/>
        <v>31</v>
      </c>
      <c r="H54" s="121">
        <f t="shared" si="28"/>
        <v>134.6</v>
      </c>
      <c r="I54" s="121">
        <f t="shared" si="28"/>
        <v>130.69999999999999</v>
      </c>
      <c r="J54" s="118"/>
      <c r="K54" s="117"/>
      <c r="L54" s="116"/>
      <c r="M54" s="125">
        <f t="shared" si="21"/>
        <v>763.89018591146873</v>
      </c>
      <c r="N54" s="119">
        <v>8.0208999999999993</v>
      </c>
      <c r="O54" s="120">
        <f t="shared" si="13"/>
        <v>0.72867226748797886</v>
      </c>
      <c r="P54" s="118">
        <f t="shared" si="14"/>
        <v>4.2161290322580642</v>
      </c>
      <c r="Q54" s="116">
        <f>COUNTIFS('Daily KPI'!$D:$D,D54,'Daily KPI'!$O:$O,"&gt;0")</f>
        <v>0</v>
      </c>
      <c r="R54" s="119">
        <f t="shared" si="15"/>
        <v>0</v>
      </c>
      <c r="S54" s="119">
        <f>SUMIF($F$2:F54,F54,$R$2:R54)</f>
        <v>0</v>
      </c>
      <c r="T54" s="118">
        <f t="shared" si="16"/>
        <v>24.641618900369959</v>
      </c>
      <c r="U54" s="119">
        <f t="shared" si="17"/>
        <v>0</v>
      </c>
      <c r="V54" s="119">
        <f>SUMIF($F$2:F54,F54,$U$2:U54)</f>
        <v>0</v>
      </c>
      <c r="W54" s="120">
        <f t="shared" si="18"/>
        <v>0.12800734591489088</v>
      </c>
      <c r="X54" s="120" t="str">
        <f t="shared" si="26"/>
        <v/>
      </c>
      <c r="Y54" s="120" t="str">
        <f t="shared" si="9"/>
        <v/>
      </c>
      <c r="Z54" s="118" t="str">
        <f>IFERROR(AVERAGEIF('Daily KPI'!$D:$D,Table14[[#This Row],[Month]],'Daily KPI'!$AB:$AB),"")</f>
        <v/>
      </c>
      <c r="AA54" s="121">
        <f>IFERROR(AVERAGEIF($F$2:F54,F54,$N$2:N54),"")</f>
        <v>8.0208999999999993</v>
      </c>
      <c r="AB54" s="119"/>
      <c r="AC54" s="118"/>
      <c r="AD54" s="118"/>
      <c r="AE54" s="120">
        <v>0.98040000000000005</v>
      </c>
      <c r="AF54" s="120">
        <v>0.98</v>
      </c>
      <c r="AG54" s="120"/>
      <c r="AH54" s="120"/>
      <c r="AI54" s="120"/>
      <c r="AJ54" s="120"/>
      <c r="AK54" s="120"/>
      <c r="AL54" s="120"/>
      <c r="AM54" s="133"/>
      <c r="AN54" s="133"/>
      <c r="AO54" s="112">
        <v>8</v>
      </c>
    </row>
    <row r="55" spans="1:41" x14ac:dyDescent="0.3">
      <c r="A55" s="112">
        <f t="shared" si="10"/>
        <v>54</v>
      </c>
      <c r="B55" s="113" t="str">
        <f t="shared" si="27"/>
        <v>September</v>
      </c>
      <c r="C55" s="113">
        <f t="shared" si="27"/>
        <v>9</v>
      </c>
      <c r="D55" s="114">
        <v>44805</v>
      </c>
      <c r="E55" s="115">
        <f t="shared" si="22"/>
        <v>2022</v>
      </c>
      <c r="F55" s="115" t="s">
        <v>1167</v>
      </c>
      <c r="G55" s="116">
        <f t="shared" si="23"/>
        <v>30</v>
      </c>
      <c r="H55" s="121">
        <f t="shared" si="28"/>
        <v>142.5</v>
      </c>
      <c r="I55" s="121">
        <f t="shared" si="28"/>
        <v>145.4</v>
      </c>
      <c r="J55" s="118"/>
      <c r="K55" s="117"/>
      <c r="L55" s="116"/>
      <c r="M55" s="125">
        <f t="shared" si="21"/>
        <v>827.54770140409107</v>
      </c>
      <c r="N55" s="119">
        <v>8.0208999999999993</v>
      </c>
      <c r="O55" s="120">
        <f t="shared" si="13"/>
        <v>0.70958680060111445</v>
      </c>
      <c r="P55" s="118">
        <f t="shared" si="14"/>
        <v>4.8466666666666667</v>
      </c>
      <c r="Q55" s="116">
        <f>COUNTIFS('Daily KPI'!$D:$D,D55,'Daily KPI'!$O:$O,"&gt;0")</f>
        <v>0</v>
      </c>
      <c r="R55" s="119">
        <f t="shared" si="15"/>
        <v>0</v>
      </c>
      <c r="S55" s="119">
        <f>SUMIF($F$2:F55,F55,$R$2:R55)</f>
        <v>0</v>
      </c>
      <c r="T55" s="118">
        <f t="shared" si="16"/>
        <v>27.58492338013637</v>
      </c>
      <c r="U55" s="119">
        <f t="shared" si="17"/>
        <v>0</v>
      </c>
      <c r="V55" s="119">
        <f>SUMIF($F$2:F55,F55,$U$2:U55)</f>
        <v>0</v>
      </c>
      <c r="W55" s="120">
        <f t="shared" si="18"/>
        <v>0.14329711223250285</v>
      </c>
      <c r="X55" s="120" t="str">
        <f t="shared" si="26"/>
        <v/>
      </c>
      <c r="Y55" s="120" t="str">
        <f t="shared" si="9"/>
        <v/>
      </c>
      <c r="Z55" s="118" t="str">
        <f>IFERROR(AVERAGEIF('Daily KPI'!$D:$D,Table14[[#This Row],[Month]],'Daily KPI'!$AB:$AB),"")</f>
        <v/>
      </c>
      <c r="AA55" s="121">
        <f>IFERROR(AVERAGEIF($F$2:F55,F55,$N$2:N55),"")</f>
        <v>8.0208999999999993</v>
      </c>
      <c r="AB55" s="119"/>
      <c r="AC55" s="118"/>
      <c r="AD55" s="118"/>
      <c r="AE55" s="120">
        <v>0.98040000000000005</v>
      </c>
      <c r="AF55" s="120">
        <v>0.98</v>
      </c>
      <c r="AG55" s="120"/>
      <c r="AH55" s="120"/>
      <c r="AI55" s="120"/>
      <c r="AJ55" s="120"/>
      <c r="AK55" s="120"/>
      <c r="AL55" s="120"/>
      <c r="AM55" s="133"/>
      <c r="AN55" s="133"/>
      <c r="AO55" s="112">
        <v>8</v>
      </c>
    </row>
    <row r="56" spans="1:41" x14ac:dyDescent="0.3">
      <c r="A56" s="112">
        <f t="shared" si="10"/>
        <v>55</v>
      </c>
      <c r="B56" s="113" t="str">
        <f t="shared" si="27"/>
        <v>October</v>
      </c>
      <c r="C56" s="113">
        <f t="shared" si="27"/>
        <v>10</v>
      </c>
      <c r="D56" s="114">
        <v>44835</v>
      </c>
      <c r="E56" s="115">
        <f t="shared" si="22"/>
        <v>2022</v>
      </c>
      <c r="F56" s="115" t="s">
        <v>1167</v>
      </c>
      <c r="G56" s="116">
        <f t="shared" si="23"/>
        <v>31</v>
      </c>
      <c r="H56" s="121">
        <f t="shared" si="28"/>
        <v>145.69999999999999</v>
      </c>
      <c r="I56" s="121">
        <f t="shared" si="28"/>
        <v>158.80000000000001</v>
      </c>
      <c r="J56" s="118"/>
      <c r="K56" s="117"/>
      <c r="L56" s="116"/>
      <c r="M56" s="125">
        <f t="shared" si="21"/>
        <v>938.9483535161803</v>
      </c>
      <c r="N56" s="119">
        <v>8.0208999999999993</v>
      </c>
      <c r="O56" s="120">
        <f t="shared" si="13"/>
        <v>0.73717076724916697</v>
      </c>
      <c r="P56" s="118">
        <f t="shared" si="14"/>
        <v>5.1225806451612907</v>
      </c>
      <c r="Q56" s="116">
        <f>COUNTIFS('Daily KPI'!$D:$D,D56,'Daily KPI'!$O:$O,"&gt;0")</f>
        <v>0</v>
      </c>
      <c r="R56" s="119">
        <f t="shared" si="15"/>
        <v>0</v>
      </c>
      <c r="S56" s="119">
        <f>SUMIF($F$2:F56,F56,$R$2:R56)</f>
        <v>0</v>
      </c>
      <c r="T56" s="118">
        <f t="shared" si="16"/>
        <v>30.288656565038075</v>
      </c>
      <c r="U56" s="119">
        <f t="shared" si="17"/>
        <v>0</v>
      </c>
      <c r="V56" s="119">
        <f>SUMIF($F$2:F56,F56,$U$2:U56)</f>
        <v>0</v>
      </c>
      <c r="W56" s="120">
        <f t="shared" si="18"/>
        <v>0.15734236268705337</v>
      </c>
      <c r="X56" s="120" t="str">
        <f t="shared" si="26"/>
        <v/>
      </c>
      <c r="Y56" s="120" t="str">
        <f t="shared" si="9"/>
        <v/>
      </c>
      <c r="Z56" s="118" t="str">
        <f>IFERROR(AVERAGEIF('Daily KPI'!$D:$D,Table14[[#This Row],[Month]],'Daily KPI'!$AB:$AB),"")</f>
        <v/>
      </c>
      <c r="AA56" s="121">
        <f>IFERROR(AVERAGEIF($F$2:F56,F56,$N$2:N56),"")</f>
        <v>8.0208999999999993</v>
      </c>
      <c r="AB56" s="119"/>
      <c r="AC56" s="118"/>
      <c r="AD56" s="118"/>
      <c r="AE56" s="120">
        <v>0.98040000000000005</v>
      </c>
      <c r="AF56" s="120">
        <v>0.98</v>
      </c>
      <c r="AG56" s="120"/>
      <c r="AH56" s="120"/>
      <c r="AI56" s="120"/>
      <c r="AJ56" s="120"/>
      <c r="AK56" s="120"/>
      <c r="AL56" s="120"/>
      <c r="AM56" s="133"/>
      <c r="AN56" s="133"/>
      <c r="AO56" s="112">
        <v>8</v>
      </c>
    </row>
    <row r="57" spans="1:41" x14ac:dyDescent="0.3">
      <c r="A57" s="112">
        <f t="shared" si="10"/>
        <v>56</v>
      </c>
      <c r="B57" s="113" t="str">
        <f t="shared" si="27"/>
        <v>November</v>
      </c>
      <c r="C57" s="113">
        <f t="shared" si="27"/>
        <v>11</v>
      </c>
      <c r="D57" s="114">
        <v>44866</v>
      </c>
      <c r="E57" s="115">
        <f t="shared" si="22"/>
        <v>2022</v>
      </c>
      <c r="F57" s="115" t="s">
        <v>1167</v>
      </c>
      <c r="G57" s="116">
        <f t="shared" si="23"/>
        <v>30</v>
      </c>
      <c r="H57" s="121">
        <f t="shared" si="28"/>
        <v>138.9</v>
      </c>
      <c r="I57" s="121">
        <f t="shared" si="28"/>
        <v>163</v>
      </c>
      <c r="J57" s="118"/>
      <c r="K57" s="117"/>
      <c r="L57" s="116"/>
      <c r="M57" s="125">
        <f t="shared" si="21"/>
        <v>944.25314647389882</v>
      </c>
      <c r="N57" s="119">
        <v>8.0208999999999993</v>
      </c>
      <c r="O57" s="120">
        <f t="shared" si="13"/>
        <v>0.7222336756220531</v>
      </c>
      <c r="P57" s="118">
        <f t="shared" si="14"/>
        <v>5.4333333333333336</v>
      </c>
      <c r="Q57" s="116">
        <f>COUNTIFS('Daily KPI'!$D:$D,D57,'Daily KPI'!$O:$O,"&gt;0")</f>
        <v>0</v>
      </c>
      <c r="R57" s="119">
        <f t="shared" si="15"/>
        <v>0</v>
      </c>
      <c r="S57" s="119">
        <f>SUMIF($F$2:F57,F57,$R$2:R57)</f>
        <v>0</v>
      </c>
      <c r="T57" s="118">
        <f t="shared" si="16"/>
        <v>31.475104882463295</v>
      </c>
      <c r="U57" s="119">
        <f t="shared" si="17"/>
        <v>0</v>
      </c>
      <c r="V57" s="119">
        <f>SUMIF($F$2:F57,F57,$U$2:U57)</f>
        <v>0</v>
      </c>
      <c r="W57" s="120">
        <f t="shared" si="18"/>
        <v>0.1635056793422148</v>
      </c>
      <c r="X57" s="120" t="str">
        <f t="shared" si="26"/>
        <v/>
      </c>
      <c r="Y57" s="120" t="str">
        <f t="shared" si="9"/>
        <v/>
      </c>
      <c r="Z57" s="118" t="str">
        <f>IFERROR(AVERAGEIF('Daily KPI'!$D:$D,Table14[[#This Row],[Month]],'Daily KPI'!$AB:$AB),"")</f>
        <v/>
      </c>
      <c r="AA57" s="121">
        <f>IFERROR(AVERAGEIF($F$2:F57,F57,$N$2:N57),"")</f>
        <v>8.0208999999999993</v>
      </c>
      <c r="AB57" s="119"/>
      <c r="AC57" s="118"/>
      <c r="AD57" s="118"/>
      <c r="AE57" s="120">
        <v>0.98040000000000005</v>
      </c>
      <c r="AF57" s="120">
        <v>0.98</v>
      </c>
      <c r="AG57" s="120"/>
      <c r="AH57" s="120"/>
      <c r="AI57" s="120"/>
      <c r="AJ57" s="120"/>
      <c r="AK57" s="120"/>
      <c r="AL57" s="120"/>
      <c r="AM57" s="133"/>
      <c r="AN57" s="133"/>
      <c r="AO57" s="112">
        <v>8</v>
      </c>
    </row>
    <row r="58" spans="1:41" x14ac:dyDescent="0.3">
      <c r="A58" s="112">
        <f t="shared" si="10"/>
        <v>57</v>
      </c>
      <c r="B58" s="113" t="str">
        <f t="shared" si="27"/>
        <v>December</v>
      </c>
      <c r="C58" s="113">
        <f t="shared" si="27"/>
        <v>12</v>
      </c>
      <c r="D58" s="114">
        <v>44896</v>
      </c>
      <c r="E58" s="115">
        <f t="shared" si="22"/>
        <v>2022</v>
      </c>
      <c r="F58" s="115" t="s">
        <v>1167</v>
      </c>
      <c r="G58" s="116">
        <f t="shared" si="23"/>
        <v>31</v>
      </c>
      <c r="H58" s="121">
        <f t="shared" si="28"/>
        <v>134.69999999999999</v>
      </c>
      <c r="I58" s="121">
        <f t="shared" si="28"/>
        <v>163.69999999999999</v>
      </c>
      <c r="J58" s="118"/>
      <c r="K58" s="117"/>
      <c r="L58" s="116"/>
      <c r="M58" s="125">
        <f t="shared" si="21"/>
        <v>981.38669717792857</v>
      </c>
      <c r="N58" s="119">
        <v>8.0208999999999993</v>
      </c>
      <c r="O58" s="120">
        <f t="shared" si="13"/>
        <v>0.74742631726929265</v>
      </c>
      <c r="P58" s="118">
        <f t="shared" si="14"/>
        <v>5.2806451612903222</v>
      </c>
      <c r="Q58" s="116">
        <f>COUNTIFS('Daily KPI'!$D:$D,D58,'Daily KPI'!$O:$O,"&gt;0")</f>
        <v>0</v>
      </c>
      <c r="R58" s="119">
        <f t="shared" si="15"/>
        <v>0</v>
      </c>
      <c r="S58" s="119">
        <f>SUMIF($F$2:F58,F58,$R$2:R58)</f>
        <v>0</v>
      </c>
      <c r="T58" s="118">
        <f t="shared" si="16"/>
        <v>31.657635392836404</v>
      </c>
      <c r="U58" s="119">
        <f t="shared" si="17"/>
        <v>0</v>
      </c>
      <c r="V58" s="119">
        <f>SUMIF($F$2:F58,F58,$U$2:U58)</f>
        <v>0</v>
      </c>
      <c r="W58" s="120">
        <f t="shared" si="18"/>
        <v>0.16445388190454732</v>
      </c>
      <c r="X58" s="120" t="str">
        <f t="shared" si="26"/>
        <v/>
      </c>
      <c r="Y58" s="120" t="str">
        <f t="shared" si="9"/>
        <v/>
      </c>
      <c r="Z58" s="118" t="str">
        <f>IFERROR(AVERAGEIF('Daily KPI'!$D:$D,Table14[[#This Row],[Month]],'Daily KPI'!$AB:$AB),"")</f>
        <v/>
      </c>
      <c r="AA58" s="121">
        <f>IFERROR(AVERAGEIF($F$2:F58,F58,$N$2:N58),"")</f>
        <v>8.0208999999999993</v>
      </c>
      <c r="AB58" s="119"/>
      <c r="AC58" s="118"/>
      <c r="AD58" s="118"/>
      <c r="AE58" s="120">
        <v>0.98040000000000005</v>
      </c>
      <c r="AF58" s="120">
        <v>0.98</v>
      </c>
      <c r="AG58" s="120"/>
      <c r="AH58" s="120"/>
      <c r="AI58" s="120"/>
      <c r="AJ58" s="120"/>
      <c r="AK58" s="120"/>
      <c r="AL58" s="120"/>
      <c r="AM58" s="133"/>
      <c r="AN58" s="133"/>
      <c r="AO58" s="112">
        <v>8</v>
      </c>
    </row>
    <row r="59" spans="1:41" x14ac:dyDescent="0.3">
      <c r="A59" s="112">
        <f t="shared" si="10"/>
        <v>58</v>
      </c>
      <c r="B59" s="113" t="str">
        <f t="shared" si="27"/>
        <v>January</v>
      </c>
      <c r="C59" s="113">
        <f t="shared" si="27"/>
        <v>1</v>
      </c>
      <c r="D59" s="114">
        <v>44927</v>
      </c>
      <c r="E59" s="115">
        <f t="shared" si="22"/>
        <v>2023</v>
      </c>
      <c r="F59" s="115" t="s">
        <v>1167</v>
      </c>
      <c r="G59" s="116">
        <f t="shared" si="23"/>
        <v>31</v>
      </c>
      <c r="H59" s="121">
        <f t="shared" si="28"/>
        <v>151.6</v>
      </c>
      <c r="I59" s="121">
        <f t="shared" si="28"/>
        <v>183.9</v>
      </c>
      <c r="J59" s="118"/>
      <c r="K59" s="117"/>
      <c r="L59" s="116"/>
      <c r="M59" s="125">
        <f t="shared" si="21"/>
        <v>1087.4825563322993</v>
      </c>
      <c r="N59" s="119">
        <v>8.0208999999999993</v>
      </c>
      <c r="O59" s="120">
        <f t="shared" si="13"/>
        <v>0.73725456161784642</v>
      </c>
      <c r="P59" s="118">
        <f t="shared" si="14"/>
        <v>5.9322580645161294</v>
      </c>
      <c r="Q59" s="116">
        <f>COUNTIFS('Daily KPI'!$D:$D,D59,'Daily KPI'!$O:$O,"&gt;0")</f>
        <v>0</v>
      </c>
      <c r="R59" s="119">
        <f t="shared" si="15"/>
        <v>0</v>
      </c>
      <c r="S59" s="119">
        <f>SUMIF($F$2:F59,F59,$R$2:R59)</f>
        <v>0</v>
      </c>
      <c r="T59" s="118">
        <f t="shared" si="16"/>
        <v>35.080082462332236</v>
      </c>
      <c r="U59" s="119">
        <f t="shared" si="17"/>
        <v>0</v>
      </c>
      <c r="V59" s="119">
        <f>SUMIF($F$2:F59,F59,$U$2:U59)</f>
        <v>0</v>
      </c>
      <c r="W59" s="120">
        <f t="shared" si="18"/>
        <v>0.18223267994828218</v>
      </c>
      <c r="X59" s="120" t="str">
        <f t="shared" si="26"/>
        <v/>
      </c>
      <c r="Y59" s="120" t="str">
        <f t="shared" si="9"/>
        <v/>
      </c>
      <c r="Z59" s="118" t="str">
        <f>IFERROR(AVERAGEIF('Daily KPI'!$D:$D,Table14[[#This Row],[Month]],'Daily KPI'!$AB:$AB),"")</f>
        <v/>
      </c>
      <c r="AA59" s="121">
        <f>IFERROR(AVERAGEIF($F$2:F59,F59,$N$2:N59),"")</f>
        <v>8.0208999999999993</v>
      </c>
      <c r="AB59" s="119"/>
      <c r="AC59" s="118"/>
      <c r="AD59" s="118"/>
      <c r="AE59" s="120">
        <v>0.98040000000000005</v>
      </c>
      <c r="AF59" s="120">
        <v>0.98</v>
      </c>
      <c r="AG59" s="120"/>
      <c r="AH59" s="120"/>
      <c r="AI59" s="120"/>
      <c r="AJ59" s="120"/>
      <c r="AK59" s="120"/>
      <c r="AL59" s="120"/>
      <c r="AM59" s="133"/>
      <c r="AN59" s="133"/>
      <c r="AO59" s="112">
        <v>8</v>
      </c>
    </row>
    <row r="60" spans="1:41" x14ac:dyDescent="0.3">
      <c r="A60" s="112">
        <f t="shared" si="10"/>
        <v>59</v>
      </c>
      <c r="B60" s="113" t="str">
        <f t="shared" si="27"/>
        <v>February</v>
      </c>
      <c r="C60" s="113">
        <f t="shared" si="27"/>
        <v>2</v>
      </c>
      <c r="D60" s="114">
        <v>44958</v>
      </c>
      <c r="E60" s="115">
        <f t="shared" si="22"/>
        <v>2023</v>
      </c>
      <c r="F60" s="115" t="s">
        <v>1167</v>
      </c>
      <c r="G60" s="116">
        <f t="shared" si="23"/>
        <v>28</v>
      </c>
      <c r="H60" s="121">
        <f t="shared" si="28"/>
        <v>159.9</v>
      </c>
      <c r="I60" s="121">
        <f t="shared" si="28"/>
        <v>184</v>
      </c>
      <c r="J60" s="118"/>
      <c r="K60" s="117"/>
      <c r="L60" s="116"/>
      <c r="M60" s="125">
        <f t="shared" si="21"/>
        <v>1038.6058690088</v>
      </c>
      <c r="N60" s="119">
        <v>8.0208999999999993</v>
      </c>
      <c r="O60" s="120">
        <f t="shared" si="13"/>
        <v>0.70373612863622048</v>
      </c>
      <c r="P60" s="118">
        <f t="shared" si="14"/>
        <v>6.5714285714285712</v>
      </c>
      <c r="Q60" s="116">
        <f>COUNTIFS('Daily KPI'!$D:$D,D60,'Daily KPI'!$O:$O,"&gt;0")</f>
        <v>0</v>
      </c>
      <c r="R60" s="119">
        <f t="shared" si="15"/>
        <v>0</v>
      </c>
      <c r="S60" s="119">
        <f>SUMIF($F$2:F60,F60,$R$2:R60)</f>
        <v>0</v>
      </c>
      <c r="T60" s="118">
        <f t="shared" si="16"/>
        <v>37.093066750314286</v>
      </c>
      <c r="U60" s="119">
        <f t="shared" si="17"/>
        <v>0</v>
      </c>
      <c r="V60" s="119">
        <f>SUMIF($F$2:F60,F60,$U$2:U60)</f>
        <v>0</v>
      </c>
      <c r="W60" s="120">
        <f t="shared" si="18"/>
        <v>0.19268965426944132</v>
      </c>
      <c r="X60" s="120" t="str">
        <f t="shared" si="26"/>
        <v/>
      </c>
      <c r="Y60" s="120" t="str">
        <f t="shared" si="9"/>
        <v/>
      </c>
      <c r="Z60" s="118" t="str">
        <f>IFERROR(AVERAGEIF('Daily KPI'!$D:$D,Table14[[#This Row],[Month]],'Daily KPI'!$AB:$AB),"")</f>
        <v/>
      </c>
      <c r="AA60" s="121">
        <f>IFERROR(AVERAGEIF($F$2:F60,F60,$N$2:N60),"")</f>
        <v>8.0208999999999993</v>
      </c>
      <c r="AB60" s="119"/>
      <c r="AC60" s="118"/>
      <c r="AD60" s="118"/>
      <c r="AE60" s="120">
        <v>0.98040000000000005</v>
      </c>
      <c r="AF60" s="120">
        <v>0.98</v>
      </c>
      <c r="AG60" s="120"/>
      <c r="AH60" s="120"/>
      <c r="AI60" s="120"/>
      <c r="AJ60" s="120"/>
      <c r="AK60" s="120"/>
      <c r="AL60" s="120"/>
      <c r="AM60" s="133"/>
      <c r="AN60" s="133"/>
      <c r="AO60" s="112">
        <v>8</v>
      </c>
    </row>
    <row r="61" spans="1:41" x14ac:dyDescent="0.3">
      <c r="A61" s="112">
        <f t="shared" si="10"/>
        <v>60</v>
      </c>
      <c r="B61" s="113" t="str">
        <f t="shared" si="27"/>
        <v>March</v>
      </c>
      <c r="C61" s="113">
        <f t="shared" si="27"/>
        <v>3</v>
      </c>
      <c r="D61" s="114">
        <v>44986</v>
      </c>
      <c r="E61" s="115">
        <f t="shared" si="22"/>
        <v>2023</v>
      </c>
      <c r="F61" s="115" t="s">
        <v>1167</v>
      </c>
      <c r="G61" s="116">
        <f t="shared" si="23"/>
        <v>31</v>
      </c>
      <c r="H61" s="121">
        <f t="shared" si="28"/>
        <v>197.2</v>
      </c>
      <c r="I61" s="121">
        <f t="shared" si="28"/>
        <v>210.4</v>
      </c>
      <c r="J61" s="118"/>
      <c r="K61" s="117"/>
      <c r="L61" s="116"/>
      <c r="M61" s="125">
        <f t="shared" si="21"/>
        <v>1204.1880014021069</v>
      </c>
      <c r="N61" s="119">
        <v>8.0208999999999993</v>
      </c>
      <c r="O61" s="120">
        <f t="shared" si="13"/>
        <v>0.71355172148533519</v>
      </c>
      <c r="P61" s="118">
        <f t="shared" si="14"/>
        <v>6.7870967741935484</v>
      </c>
      <c r="Q61" s="116">
        <f>COUNTIFS('Daily KPI'!$D:$D,D61,'Daily KPI'!$O:$O,"&gt;0")</f>
        <v>0</v>
      </c>
      <c r="R61" s="119">
        <f t="shared" si="15"/>
        <v>0</v>
      </c>
      <c r="S61" s="119">
        <f>SUMIF($F$2:F61,F61,$R$2:R61)</f>
        <v>0</v>
      </c>
      <c r="T61" s="118">
        <f t="shared" si="16"/>
        <v>38.844774238777646</v>
      </c>
      <c r="U61" s="119">
        <f t="shared" si="17"/>
        <v>0</v>
      </c>
      <c r="V61" s="119">
        <f>SUMIF($F$2:F61,F61,$U$2:U61)</f>
        <v>0</v>
      </c>
      <c r="W61" s="120">
        <f t="shared" si="18"/>
        <v>0.20178935779639051</v>
      </c>
      <c r="X61" s="120" t="str">
        <f t="shared" si="26"/>
        <v/>
      </c>
      <c r="Y61" s="120" t="str">
        <f t="shared" si="9"/>
        <v/>
      </c>
      <c r="Z61" s="118" t="str">
        <f>IFERROR(AVERAGEIF('Daily KPI'!$D:$D,Table14[[#This Row],[Month]],'Daily KPI'!$AB:$AB),"")</f>
        <v/>
      </c>
      <c r="AA61" s="121">
        <f>IFERROR(AVERAGEIF($F$2:F61,F61,$N$2:N61),"")</f>
        <v>8.0208999999999993</v>
      </c>
      <c r="AB61" s="119"/>
      <c r="AC61" s="118"/>
      <c r="AD61" s="118"/>
      <c r="AE61" s="120">
        <v>0.98040000000000005</v>
      </c>
      <c r="AF61" s="120">
        <v>0.98</v>
      </c>
      <c r="AG61" s="120"/>
      <c r="AH61" s="120"/>
      <c r="AI61" s="120"/>
      <c r="AJ61" s="120"/>
      <c r="AK61" s="120"/>
      <c r="AL61" s="120"/>
      <c r="AM61" s="133"/>
      <c r="AN61" s="133"/>
      <c r="AO61" s="112">
        <v>8</v>
      </c>
    </row>
    <row r="62" spans="1:41" x14ac:dyDescent="0.3">
      <c r="A62" s="112">
        <f t="shared" si="10"/>
        <v>61</v>
      </c>
      <c r="B62" s="113" t="str">
        <f t="shared" si="27"/>
        <v>April</v>
      </c>
      <c r="C62" s="113">
        <f t="shared" si="27"/>
        <v>4</v>
      </c>
      <c r="D62" s="114">
        <v>45017</v>
      </c>
      <c r="E62" s="115">
        <f t="shared" si="22"/>
        <v>2023</v>
      </c>
      <c r="F62" s="115" t="s">
        <v>1168</v>
      </c>
      <c r="G62" s="116">
        <f t="shared" si="23"/>
        <v>30</v>
      </c>
      <c r="H62" s="121">
        <f t="shared" si="28"/>
        <v>193.6</v>
      </c>
      <c r="I62" s="121">
        <f t="shared" si="28"/>
        <v>191.7</v>
      </c>
      <c r="J62" s="118"/>
      <c r="K62" s="117"/>
      <c r="L62" s="116"/>
      <c r="M62" s="125">
        <f t="shared" si="21"/>
        <v>1055.6537985859879</v>
      </c>
      <c r="N62" s="119">
        <v>8.0208999999999993</v>
      </c>
      <c r="O62" s="120">
        <f t="shared" si="13"/>
        <v>0.68655652664663702</v>
      </c>
      <c r="P62" s="118">
        <f t="shared" si="14"/>
        <v>6.39</v>
      </c>
      <c r="Q62" s="116">
        <f>COUNTIFS('Daily KPI'!$D:$D,D62,'Daily KPI'!$O:$O,"&gt;0")</f>
        <v>0</v>
      </c>
      <c r="R62" s="119">
        <f t="shared" si="15"/>
        <v>0</v>
      </c>
      <c r="S62" s="119">
        <f>SUMIF($F$2:F62,F62,$R$2:R62)</f>
        <v>0</v>
      </c>
      <c r="T62" s="118">
        <f t="shared" si="16"/>
        <v>35.188459952866268</v>
      </c>
      <c r="U62" s="119">
        <f t="shared" si="17"/>
        <v>0</v>
      </c>
      <c r="V62" s="119">
        <f>SUMIF($F$2:F62,F62,$U$2:U62)</f>
        <v>0</v>
      </c>
      <c r="W62" s="120">
        <f t="shared" si="18"/>
        <v>0.18279567521966711</v>
      </c>
      <c r="X62" s="120" t="str">
        <f t="shared" si="26"/>
        <v/>
      </c>
      <c r="Y62" s="120" t="str">
        <f t="shared" si="9"/>
        <v/>
      </c>
      <c r="Z62" s="118" t="str">
        <f>IFERROR(AVERAGEIF('Daily KPI'!$D:$D,Table14[[#This Row],[Month]],'Daily KPI'!$AB:$AB),"")</f>
        <v/>
      </c>
      <c r="AA62" s="121">
        <f>IFERROR(AVERAGEIF($F$2:F62,F62,$N$2:N62),"")</f>
        <v>8.0208999999999993</v>
      </c>
      <c r="AB62" s="119"/>
      <c r="AC62" s="118"/>
      <c r="AD62" s="118"/>
      <c r="AE62" s="120">
        <v>0.98040000000000005</v>
      </c>
      <c r="AF62" s="120">
        <v>0.98</v>
      </c>
      <c r="AG62" s="120"/>
      <c r="AH62" s="120"/>
      <c r="AI62" s="120"/>
      <c r="AJ62" s="120"/>
      <c r="AK62" s="120"/>
      <c r="AL62" s="120"/>
      <c r="AM62" s="133"/>
      <c r="AN62" s="133"/>
      <c r="AO62" s="112">
        <v>8</v>
      </c>
    </row>
    <row r="63" spans="1:41" x14ac:dyDescent="0.3">
      <c r="A63" s="112">
        <f t="shared" si="10"/>
        <v>62</v>
      </c>
      <c r="B63" s="113" t="str">
        <f t="shared" ref="B63:C78" si="29">B51</f>
        <v>May</v>
      </c>
      <c r="C63" s="113">
        <f t="shared" si="29"/>
        <v>5</v>
      </c>
      <c r="D63" s="114">
        <v>45047</v>
      </c>
      <c r="E63" s="115">
        <f t="shared" si="22"/>
        <v>2023</v>
      </c>
      <c r="F63" s="115" t="s">
        <v>1168</v>
      </c>
      <c r="G63" s="116">
        <f t="shared" si="23"/>
        <v>31</v>
      </c>
      <c r="H63" s="121">
        <f t="shared" ref="H63:I78" si="30">H51</f>
        <v>198.6</v>
      </c>
      <c r="I63" s="121">
        <f t="shared" si="30"/>
        <v>186.4</v>
      </c>
      <c r="J63" s="118"/>
      <c r="K63" s="117"/>
      <c r="L63" s="116"/>
      <c r="M63" s="125">
        <f t="shared" si="21"/>
        <v>1060.9585915437065</v>
      </c>
      <c r="N63" s="119">
        <v>8.0208999999999993</v>
      </c>
      <c r="O63" s="120">
        <f t="shared" si="13"/>
        <v>0.70962584466409462</v>
      </c>
      <c r="P63" s="118">
        <f t="shared" si="14"/>
        <v>6.0129032258064514</v>
      </c>
      <c r="Q63" s="116">
        <f>COUNTIFS('Daily KPI'!$D:$D,D63,'Daily KPI'!$O:$O,"&gt;0")</f>
        <v>0</v>
      </c>
      <c r="R63" s="119">
        <f t="shared" si="15"/>
        <v>0</v>
      </c>
      <c r="S63" s="119">
        <f>SUMIF($F$2:F63,F63,$R$2:R63)</f>
        <v>0</v>
      </c>
      <c r="T63" s="118">
        <f t="shared" si="16"/>
        <v>34.224470694958271</v>
      </c>
      <c r="U63" s="119">
        <f t="shared" si="17"/>
        <v>0</v>
      </c>
      <c r="V63" s="119">
        <f>SUMIF($F$2:F63,F63,$U$2:U63)</f>
        <v>0</v>
      </c>
      <c r="W63" s="120">
        <f t="shared" si="18"/>
        <v>0.17778798043734842</v>
      </c>
      <c r="X63" s="120" t="str">
        <f t="shared" si="26"/>
        <v/>
      </c>
      <c r="Y63" s="120" t="str">
        <f t="shared" si="9"/>
        <v/>
      </c>
      <c r="Z63" s="118" t="str">
        <f>IFERROR(AVERAGEIF('Daily KPI'!$D:$D,Table14[[#This Row],[Month]],'Daily KPI'!$AB:$AB),"")</f>
        <v/>
      </c>
      <c r="AA63" s="121">
        <f>IFERROR(AVERAGEIF($F$2:F63,F63,$N$2:N63),"")</f>
        <v>8.0208999999999993</v>
      </c>
      <c r="AB63" s="119"/>
      <c r="AC63" s="118"/>
      <c r="AD63" s="118"/>
      <c r="AE63" s="120">
        <v>0.98040000000000005</v>
      </c>
      <c r="AF63" s="120">
        <v>0.98</v>
      </c>
      <c r="AG63" s="120"/>
      <c r="AH63" s="120"/>
      <c r="AI63" s="120"/>
      <c r="AJ63" s="120"/>
      <c r="AK63" s="120"/>
      <c r="AL63" s="120"/>
      <c r="AM63" s="133"/>
      <c r="AN63" s="133"/>
      <c r="AO63" s="112">
        <v>8</v>
      </c>
    </row>
    <row r="64" spans="1:41" x14ac:dyDescent="0.3">
      <c r="A64" s="112">
        <f t="shared" si="10"/>
        <v>63</v>
      </c>
      <c r="B64" s="113" t="str">
        <f t="shared" si="29"/>
        <v>June</v>
      </c>
      <c r="C64" s="113">
        <f t="shared" si="29"/>
        <v>6</v>
      </c>
      <c r="D64" s="114">
        <v>45078</v>
      </c>
      <c r="E64" s="115">
        <f t="shared" si="22"/>
        <v>2023</v>
      </c>
      <c r="F64" s="115" t="s">
        <v>1168</v>
      </c>
      <c r="G64" s="116">
        <f t="shared" si="23"/>
        <v>30</v>
      </c>
      <c r="H64" s="121">
        <f t="shared" si="30"/>
        <v>154.80000000000001</v>
      </c>
      <c r="I64" s="121">
        <f t="shared" si="30"/>
        <v>142.80000000000001</v>
      </c>
      <c r="J64" s="118"/>
      <c r="K64" s="117"/>
      <c r="L64" s="116"/>
      <c r="M64" s="125">
        <f t="shared" si="21"/>
        <v>790.41415070006133</v>
      </c>
      <c r="N64" s="119">
        <v>8.0208999999999993</v>
      </c>
      <c r="O64" s="120">
        <f t="shared" si="13"/>
        <v>0.6900862870925315</v>
      </c>
      <c r="P64" s="118">
        <f t="shared" si="14"/>
        <v>4.7600000000000007</v>
      </c>
      <c r="Q64" s="116">
        <f>COUNTIFS('Daily KPI'!$D:$D,D64,'Daily KPI'!$O:$O,"&gt;0")</f>
        <v>0</v>
      </c>
      <c r="R64" s="119">
        <f t="shared" si="15"/>
        <v>0</v>
      </c>
      <c r="S64" s="119">
        <f>SUMIF($F$2:F64,F64,$R$2:R64)</f>
        <v>0</v>
      </c>
      <c r="T64" s="118">
        <f t="shared" si="16"/>
        <v>26.347138356668712</v>
      </c>
      <c r="U64" s="119">
        <f t="shared" si="17"/>
        <v>0</v>
      </c>
      <c r="V64" s="119">
        <f>SUMIF($F$2:F64,F64,$U$2:U64)</f>
        <v>0</v>
      </c>
      <c r="W64" s="120">
        <f t="shared" si="18"/>
        <v>0.13686711360668541</v>
      </c>
      <c r="X64" s="120" t="str">
        <f t="shared" si="26"/>
        <v/>
      </c>
      <c r="Y64" s="120" t="str">
        <f t="shared" si="9"/>
        <v/>
      </c>
      <c r="Z64" s="118" t="str">
        <f>IFERROR(AVERAGEIF('Daily KPI'!$D:$D,Table14[[#This Row],[Month]],'Daily KPI'!$AB:$AB),"")</f>
        <v/>
      </c>
      <c r="AA64" s="121">
        <f>IFERROR(AVERAGEIF($F$2:F64,F64,$N$2:N64),"")</f>
        <v>8.0208999999999993</v>
      </c>
      <c r="AB64" s="119"/>
      <c r="AC64" s="118"/>
      <c r="AD64" s="118"/>
      <c r="AE64" s="120">
        <v>0.98040000000000005</v>
      </c>
      <c r="AF64" s="120">
        <v>0.98</v>
      </c>
      <c r="AG64" s="120"/>
      <c r="AH64" s="120"/>
      <c r="AI64" s="120"/>
      <c r="AJ64" s="120"/>
      <c r="AK64" s="120"/>
      <c r="AL64" s="120"/>
      <c r="AM64" s="133"/>
      <c r="AN64" s="133"/>
      <c r="AO64" s="112">
        <v>8</v>
      </c>
    </row>
    <row r="65" spans="1:41" x14ac:dyDescent="0.3">
      <c r="A65" s="112">
        <f t="shared" si="10"/>
        <v>64</v>
      </c>
      <c r="B65" s="113" t="str">
        <f t="shared" si="29"/>
        <v>July</v>
      </c>
      <c r="C65" s="113">
        <f t="shared" si="29"/>
        <v>7</v>
      </c>
      <c r="D65" s="114">
        <v>45108</v>
      </c>
      <c r="E65" s="115">
        <f t="shared" si="22"/>
        <v>2023</v>
      </c>
      <c r="F65" s="115" t="s">
        <v>1168</v>
      </c>
      <c r="G65" s="116">
        <f t="shared" si="23"/>
        <v>31</v>
      </c>
      <c r="H65" s="121">
        <f t="shared" si="30"/>
        <v>134.4</v>
      </c>
      <c r="I65" s="121">
        <f t="shared" si="30"/>
        <v>125.4</v>
      </c>
      <c r="J65" s="118"/>
      <c r="K65" s="117"/>
      <c r="L65" s="116"/>
      <c r="M65" s="125">
        <f t="shared" si="21"/>
        <v>721.45184224972047</v>
      </c>
      <c r="N65" s="119">
        <v>8.0208999999999993</v>
      </c>
      <c r="O65" s="120">
        <f t="shared" si="13"/>
        <v>0.71727667514245075</v>
      </c>
      <c r="P65" s="118">
        <f t="shared" si="14"/>
        <v>4.0451612903225804</v>
      </c>
      <c r="Q65" s="116">
        <f>COUNTIFS('Daily KPI'!$D:$D,D65,'Daily KPI'!$O:$O,"&gt;0")</f>
        <v>0</v>
      </c>
      <c r="R65" s="119">
        <f t="shared" si="15"/>
        <v>0</v>
      </c>
      <c r="S65" s="119">
        <f>SUMIF($F$2:F65,F65,$R$2:R65)</f>
        <v>0</v>
      </c>
      <c r="T65" s="118">
        <f t="shared" si="16"/>
        <v>23.27264007257163</v>
      </c>
      <c r="U65" s="119">
        <f t="shared" si="17"/>
        <v>0</v>
      </c>
      <c r="V65" s="119">
        <f>SUMIF($F$2:F65,F65,$U$2:U65)</f>
        <v>0</v>
      </c>
      <c r="W65" s="120">
        <f t="shared" si="18"/>
        <v>0.12089582669739696</v>
      </c>
      <c r="X65" s="120" t="str">
        <f t="shared" si="26"/>
        <v/>
      </c>
      <c r="Y65" s="120" t="str">
        <f t="shared" si="9"/>
        <v/>
      </c>
      <c r="Z65" s="118" t="str">
        <f>IFERROR(AVERAGEIF('Daily KPI'!$D:$D,Table14[[#This Row],[Month]],'Daily KPI'!$AB:$AB),"")</f>
        <v/>
      </c>
      <c r="AA65" s="121">
        <f>IFERROR(AVERAGEIF($F$2:F65,F65,$N$2:N65),"")</f>
        <v>8.0208999999999993</v>
      </c>
      <c r="AB65" s="119"/>
      <c r="AC65" s="118"/>
      <c r="AD65" s="118"/>
      <c r="AE65" s="120">
        <v>0.98040000000000005</v>
      </c>
      <c r="AF65" s="120">
        <v>0.98</v>
      </c>
      <c r="AG65" s="120"/>
      <c r="AH65" s="120"/>
      <c r="AI65" s="120"/>
      <c r="AJ65" s="120"/>
      <c r="AK65" s="120"/>
      <c r="AL65" s="120"/>
      <c r="AM65" s="133"/>
      <c r="AN65" s="133"/>
      <c r="AO65" s="112">
        <v>8</v>
      </c>
    </row>
    <row r="66" spans="1:41" x14ac:dyDescent="0.3">
      <c r="A66" s="112">
        <f t="shared" si="10"/>
        <v>65</v>
      </c>
      <c r="B66" s="113" t="str">
        <f t="shared" si="29"/>
        <v>August</v>
      </c>
      <c r="C66" s="113">
        <f t="shared" si="29"/>
        <v>8</v>
      </c>
      <c r="D66" s="114">
        <v>45139</v>
      </c>
      <c r="E66" s="115">
        <f t="shared" si="22"/>
        <v>2023</v>
      </c>
      <c r="F66" s="115" t="s">
        <v>1168</v>
      </c>
      <c r="G66" s="116">
        <f t="shared" si="23"/>
        <v>31</v>
      </c>
      <c r="H66" s="121">
        <f t="shared" si="30"/>
        <v>134.6</v>
      </c>
      <c r="I66" s="121">
        <f t="shared" si="30"/>
        <v>130.69999999999999</v>
      </c>
      <c r="J66" s="118"/>
      <c r="K66" s="117"/>
      <c r="L66" s="116"/>
      <c r="M66" s="125">
        <f t="shared" si="21"/>
        <v>763.89018591146873</v>
      </c>
      <c r="N66" s="119">
        <v>8.0208999999999993</v>
      </c>
      <c r="O66" s="120">
        <f t="shared" si="13"/>
        <v>0.72867226748797886</v>
      </c>
      <c r="P66" s="118">
        <f t="shared" si="14"/>
        <v>4.2161290322580642</v>
      </c>
      <c r="Q66" s="116">
        <f>COUNTIFS('Daily KPI'!$D:$D,D66,'Daily KPI'!$O:$O,"&gt;0")</f>
        <v>0</v>
      </c>
      <c r="R66" s="119">
        <f t="shared" si="15"/>
        <v>0</v>
      </c>
      <c r="S66" s="119">
        <f>SUMIF($F$2:F66,F66,$R$2:R66)</f>
        <v>0</v>
      </c>
      <c r="T66" s="118">
        <f t="shared" si="16"/>
        <v>24.641618900369959</v>
      </c>
      <c r="U66" s="119">
        <f t="shared" si="17"/>
        <v>0</v>
      </c>
      <c r="V66" s="119">
        <f>SUMIF($F$2:F66,F66,$U$2:U66)</f>
        <v>0</v>
      </c>
      <c r="W66" s="120">
        <f t="shared" si="18"/>
        <v>0.12800734591489088</v>
      </c>
      <c r="X66" s="120" t="str">
        <f t="shared" ref="X66:X97" si="31">IFERROR(U66/(24*N66*Q66),"")</f>
        <v/>
      </c>
      <c r="Y66" s="120" t="str">
        <f t="shared" ref="Y66:Y97" si="32">IFERROR(V66/(24*N66*SUMIFS($Q:$Q,$F:$F,$F66,$D:$D,"&lt;="&amp;D66)),"")</f>
        <v/>
      </c>
      <c r="Z66" s="118" t="str">
        <f>IFERROR(AVERAGEIF('Daily KPI'!$D:$D,Table14[[#This Row],[Month]],'Daily KPI'!$AB:$AB),"")</f>
        <v/>
      </c>
      <c r="AA66" s="121">
        <f>IFERROR(AVERAGEIF($F$2:F66,F66,$N$2:N66),"")</f>
        <v>8.0208999999999993</v>
      </c>
      <c r="AB66" s="119"/>
      <c r="AC66" s="118"/>
      <c r="AD66" s="118"/>
      <c r="AE66" s="120">
        <v>0.98040000000000005</v>
      </c>
      <c r="AF66" s="120">
        <v>0.98</v>
      </c>
      <c r="AG66" s="120"/>
      <c r="AH66" s="120"/>
      <c r="AI66" s="120"/>
      <c r="AJ66" s="120"/>
      <c r="AK66" s="120"/>
      <c r="AL66" s="120"/>
      <c r="AM66" s="133"/>
      <c r="AN66" s="133"/>
      <c r="AO66" s="112">
        <v>8</v>
      </c>
    </row>
    <row r="67" spans="1:41" x14ac:dyDescent="0.3">
      <c r="A67" s="112">
        <f t="shared" ref="A67:A97" si="33">A66+1</f>
        <v>66</v>
      </c>
      <c r="B67" s="113" t="str">
        <f t="shared" si="29"/>
        <v>September</v>
      </c>
      <c r="C67" s="113">
        <f t="shared" si="29"/>
        <v>9</v>
      </c>
      <c r="D67" s="114">
        <v>45170</v>
      </c>
      <c r="E67" s="115">
        <f t="shared" si="22"/>
        <v>2023</v>
      </c>
      <c r="F67" s="115" t="s">
        <v>1168</v>
      </c>
      <c r="G67" s="116">
        <f t="shared" si="23"/>
        <v>30</v>
      </c>
      <c r="H67" s="121">
        <f t="shared" si="30"/>
        <v>142.5</v>
      </c>
      <c r="I67" s="121">
        <f t="shared" si="30"/>
        <v>145.4</v>
      </c>
      <c r="J67" s="118"/>
      <c r="K67" s="117"/>
      <c r="L67" s="116"/>
      <c r="M67" s="125">
        <f t="shared" si="21"/>
        <v>827.54770140409107</v>
      </c>
      <c r="N67" s="119">
        <v>8.0208999999999993</v>
      </c>
      <c r="O67" s="120">
        <f t="shared" si="13"/>
        <v>0.70958680060111445</v>
      </c>
      <c r="P67" s="118">
        <f t="shared" si="14"/>
        <v>4.8466666666666667</v>
      </c>
      <c r="Q67" s="116">
        <f>COUNTIFS('Daily KPI'!$D:$D,D67,'Daily KPI'!$O:$O,"&gt;0")</f>
        <v>0</v>
      </c>
      <c r="R67" s="119">
        <f t="shared" si="15"/>
        <v>0</v>
      </c>
      <c r="S67" s="119">
        <f>SUMIF($F$2:F67,F67,$R$2:R67)</f>
        <v>0</v>
      </c>
      <c r="T67" s="118">
        <f t="shared" si="16"/>
        <v>27.58492338013637</v>
      </c>
      <c r="U67" s="119">
        <f t="shared" si="17"/>
        <v>0</v>
      </c>
      <c r="V67" s="119">
        <f>SUMIF($F$2:F67,F67,$U$2:U67)</f>
        <v>0</v>
      </c>
      <c r="W67" s="120">
        <f t="shared" si="18"/>
        <v>0.14329711223250285</v>
      </c>
      <c r="X67" s="120" t="str">
        <f t="shared" si="31"/>
        <v/>
      </c>
      <c r="Y67" s="120" t="str">
        <f t="shared" si="32"/>
        <v/>
      </c>
      <c r="Z67" s="118" t="str">
        <f>IFERROR(AVERAGEIF('Daily KPI'!$D:$D,Table14[[#This Row],[Month]],'Daily KPI'!$AB:$AB),"")</f>
        <v/>
      </c>
      <c r="AA67" s="121">
        <f>IFERROR(AVERAGEIF($F$2:F67,F67,$N$2:N67),"")</f>
        <v>8.0208999999999993</v>
      </c>
      <c r="AB67" s="119"/>
      <c r="AC67" s="118"/>
      <c r="AD67" s="118"/>
      <c r="AE67" s="120">
        <v>0.98040000000000005</v>
      </c>
      <c r="AF67" s="120">
        <v>0.98</v>
      </c>
      <c r="AG67" s="120"/>
      <c r="AH67" s="120"/>
      <c r="AI67" s="120"/>
      <c r="AJ67" s="120"/>
      <c r="AK67" s="120"/>
      <c r="AL67" s="120"/>
      <c r="AM67" s="133"/>
      <c r="AN67" s="133"/>
      <c r="AO67" s="112">
        <v>8</v>
      </c>
    </row>
    <row r="68" spans="1:41" x14ac:dyDescent="0.3">
      <c r="A68" s="112">
        <f t="shared" si="33"/>
        <v>67</v>
      </c>
      <c r="B68" s="113" t="str">
        <f t="shared" si="29"/>
        <v>October</v>
      </c>
      <c r="C68" s="113">
        <f t="shared" si="29"/>
        <v>10</v>
      </c>
      <c r="D68" s="114">
        <v>45200</v>
      </c>
      <c r="E68" s="115">
        <f t="shared" si="22"/>
        <v>2023</v>
      </c>
      <c r="F68" s="115" t="s">
        <v>1168</v>
      </c>
      <c r="G68" s="116">
        <f t="shared" si="23"/>
        <v>31</v>
      </c>
      <c r="H68" s="121">
        <f t="shared" si="30"/>
        <v>145.69999999999999</v>
      </c>
      <c r="I68" s="121">
        <f t="shared" si="30"/>
        <v>158.80000000000001</v>
      </c>
      <c r="J68" s="118"/>
      <c r="K68" s="117"/>
      <c r="L68" s="116"/>
      <c r="M68" s="125">
        <f t="shared" si="21"/>
        <v>938.9483535161803</v>
      </c>
      <c r="N68" s="119">
        <v>8.0208999999999993</v>
      </c>
      <c r="O68" s="120">
        <f t="shared" si="13"/>
        <v>0.73717076724916697</v>
      </c>
      <c r="P68" s="118">
        <f t="shared" si="14"/>
        <v>5.1225806451612907</v>
      </c>
      <c r="Q68" s="116">
        <f>COUNTIFS('Daily KPI'!$D:$D,D68,'Daily KPI'!$O:$O,"&gt;0")</f>
        <v>0</v>
      </c>
      <c r="R68" s="119">
        <f t="shared" si="15"/>
        <v>0</v>
      </c>
      <c r="S68" s="119">
        <f>SUMIF($F$2:F68,F68,$R$2:R68)</f>
        <v>0</v>
      </c>
      <c r="T68" s="118">
        <f t="shared" si="16"/>
        <v>30.288656565038075</v>
      </c>
      <c r="U68" s="119">
        <f t="shared" si="17"/>
        <v>0</v>
      </c>
      <c r="V68" s="119">
        <f>SUMIF($F$2:F68,F68,$U$2:U68)</f>
        <v>0</v>
      </c>
      <c r="W68" s="120">
        <f t="shared" si="18"/>
        <v>0.15734236268705337</v>
      </c>
      <c r="X68" s="120" t="str">
        <f t="shared" si="31"/>
        <v/>
      </c>
      <c r="Y68" s="120" t="str">
        <f t="shared" si="32"/>
        <v/>
      </c>
      <c r="Z68" s="118" t="str">
        <f>IFERROR(AVERAGEIF('Daily KPI'!$D:$D,Table14[[#This Row],[Month]],'Daily KPI'!$AB:$AB),"")</f>
        <v/>
      </c>
      <c r="AA68" s="121">
        <f>IFERROR(AVERAGEIF($F$2:F68,F68,$N$2:N68),"")</f>
        <v>8.0208999999999993</v>
      </c>
      <c r="AB68" s="119"/>
      <c r="AC68" s="118"/>
      <c r="AD68" s="118"/>
      <c r="AE68" s="120">
        <v>0.98040000000000005</v>
      </c>
      <c r="AF68" s="120">
        <v>0.98</v>
      </c>
      <c r="AG68" s="120"/>
      <c r="AH68" s="120"/>
      <c r="AI68" s="120"/>
      <c r="AJ68" s="120"/>
      <c r="AK68" s="120"/>
      <c r="AL68" s="120"/>
      <c r="AM68" s="133"/>
      <c r="AN68" s="133"/>
      <c r="AO68" s="112">
        <v>8</v>
      </c>
    </row>
    <row r="69" spans="1:41" x14ac:dyDescent="0.3">
      <c r="A69" s="112">
        <f t="shared" si="33"/>
        <v>68</v>
      </c>
      <c r="B69" s="113" t="str">
        <f t="shared" si="29"/>
        <v>November</v>
      </c>
      <c r="C69" s="113">
        <f t="shared" si="29"/>
        <v>11</v>
      </c>
      <c r="D69" s="114">
        <v>45231</v>
      </c>
      <c r="E69" s="115">
        <f t="shared" si="22"/>
        <v>2023</v>
      </c>
      <c r="F69" s="115" t="s">
        <v>1168</v>
      </c>
      <c r="G69" s="116">
        <f t="shared" si="23"/>
        <v>30</v>
      </c>
      <c r="H69" s="121">
        <f t="shared" si="30"/>
        <v>138.9</v>
      </c>
      <c r="I69" s="121">
        <f t="shared" si="30"/>
        <v>163</v>
      </c>
      <c r="J69" s="118"/>
      <c r="K69" s="117"/>
      <c r="L69" s="116"/>
      <c r="M69" s="125">
        <f t="shared" si="21"/>
        <v>944.25314647389882</v>
      </c>
      <c r="N69" s="119">
        <v>8.0208999999999993</v>
      </c>
      <c r="O69" s="120">
        <f t="shared" si="13"/>
        <v>0.7222336756220531</v>
      </c>
      <c r="P69" s="118">
        <f t="shared" si="14"/>
        <v>5.4333333333333336</v>
      </c>
      <c r="Q69" s="116">
        <f>COUNTIFS('Daily KPI'!$D:$D,D69,'Daily KPI'!$O:$O,"&gt;0")</f>
        <v>0</v>
      </c>
      <c r="R69" s="119">
        <f t="shared" si="15"/>
        <v>0</v>
      </c>
      <c r="S69" s="119">
        <f>SUMIF($F$2:F69,F69,$R$2:R69)</f>
        <v>0</v>
      </c>
      <c r="T69" s="118">
        <f t="shared" si="16"/>
        <v>31.475104882463295</v>
      </c>
      <c r="U69" s="119">
        <f t="shared" si="17"/>
        <v>0</v>
      </c>
      <c r="V69" s="119">
        <f>SUMIF($F$2:F69,F69,$U$2:U69)</f>
        <v>0</v>
      </c>
      <c r="W69" s="120">
        <f t="shared" si="18"/>
        <v>0.1635056793422148</v>
      </c>
      <c r="X69" s="120" t="str">
        <f t="shared" si="31"/>
        <v/>
      </c>
      <c r="Y69" s="120" t="str">
        <f t="shared" si="32"/>
        <v/>
      </c>
      <c r="Z69" s="118" t="str">
        <f>IFERROR(AVERAGEIF('Daily KPI'!$D:$D,Table14[[#This Row],[Month]],'Daily KPI'!$AB:$AB),"")</f>
        <v/>
      </c>
      <c r="AA69" s="121">
        <f>IFERROR(AVERAGEIF($F$2:F69,F69,$N$2:N69),"")</f>
        <v>8.0208999999999993</v>
      </c>
      <c r="AB69" s="119"/>
      <c r="AC69" s="118"/>
      <c r="AD69" s="118"/>
      <c r="AE69" s="120">
        <v>0.98040000000000005</v>
      </c>
      <c r="AF69" s="120">
        <v>0.98</v>
      </c>
      <c r="AG69" s="120"/>
      <c r="AH69" s="120"/>
      <c r="AI69" s="120"/>
      <c r="AJ69" s="120"/>
      <c r="AK69" s="120"/>
      <c r="AL69" s="120"/>
      <c r="AM69" s="133"/>
      <c r="AN69" s="133"/>
      <c r="AO69" s="112">
        <v>8</v>
      </c>
    </row>
    <row r="70" spans="1:41" x14ac:dyDescent="0.3">
      <c r="A70" s="112">
        <f t="shared" si="33"/>
        <v>69</v>
      </c>
      <c r="B70" s="113" t="str">
        <f t="shared" si="29"/>
        <v>December</v>
      </c>
      <c r="C70" s="113">
        <f t="shared" si="29"/>
        <v>12</v>
      </c>
      <c r="D70" s="114">
        <v>45261</v>
      </c>
      <c r="E70" s="115">
        <f t="shared" si="22"/>
        <v>2023</v>
      </c>
      <c r="F70" s="115" t="s">
        <v>1168</v>
      </c>
      <c r="G70" s="116">
        <f t="shared" si="23"/>
        <v>31</v>
      </c>
      <c r="H70" s="121">
        <f t="shared" si="30"/>
        <v>134.69999999999999</v>
      </c>
      <c r="I70" s="121">
        <f t="shared" si="30"/>
        <v>163.69999999999999</v>
      </c>
      <c r="J70" s="118"/>
      <c r="K70" s="117"/>
      <c r="L70" s="116"/>
      <c r="M70" s="125">
        <f t="shared" si="21"/>
        <v>981.38669717792857</v>
      </c>
      <c r="N70" s="119">
        <v>8.0208999999999993</v>
      </c>
      <c r="O70" s="120">
        <f t="shared" ref="O70:O96" si="34">IFERROR(M70/I70/N70,"")</f>
        <v>0.74742631726929265</v>
      </c>
      <c r="P70" s="118">
        <f t="shared" ref="P70:P96" si="35">IFERROR(I70/G70,"")</f>
        <v>5.2806451612903222</v>
      </c>
      <c r="Q70" s="116">
        <f>COUNTIFS('Daily KPI'!$D:$D,D70,'Daily KPI'!$O:$O,"&gt;0")</f>
        <v>0</v>
      </c>
      <c r="R70" s="119">
        <f t="shared" ref="R70:R96" si="36">I70/G70*Q70</f>
        <v>0</v>
      </c>
      <c r="S70" s="119">
        <f>SUMIF($F$2:F70,F70,$R$2:R70)</f>
        <v>0</v>
      </c>
      <c r="T70" s="118">
        <f t="shared" ref="T70:T96" si="37">M70/G70</f>
        <v>31.657635392836404</v>
      </c>
      <c r="U70" s="119">
        <f t="shared" ref="U70:U96" si="38">M70/G70*Q70</f>
        <v>0</v>
      </c>
      <c r="V70" s="119">
        <f>SUMIF($F$2:F70,F70,$U$2:U70)</f>
        <v>0</v>
      </c>
      <c r="W70" s="120">
        <f t="shared" ref="W70:W96" si="39">IFERROR(T70/(24*N70),"")</f>
        <v>0.16445388190454732</v>
      </c>
      <c r="X70" s="120" t="str">
        <f t="shared" si="31"/>
        <v/>
      </c>
      <c r="Y70" s="120" t="str">
        <f t="shared" si="32"/>
        <v/>
      </c>
      <c r="Z70" s="118" t="str">
        <f>IFERROR(AVERAGEIF('Daily KPI'!$D:$D,Table14[[#This Row],[Month]],'Daily KPI'!$AB:$AB),"")</f>
        <v/>
      </c>
      <c r="AA70" s="121">
        <f>IFERROR(AVERAGEIF($F$2:F70,F70,$N$2:N70),"")</f>
        <v>8.0208999999999993</v>
      </c>
      <c r="AB70" s="119"/>
      <c r="AC70" s="118"/>
      <c r="AD70" s="118"/>
      <c r="AE70" s="120">
        <v>0.98040000000000005</v>
      </c>
      <c r="AF70" s="120">
        <v>0.98</v>
      </c>
      <c r="AG70" s="120"/>
      <c r="AH70" s="120"/>
      <c r="AI70" s="120"/>
      <c r="AJ70" s="120"/>
      <c r="AK70" s="120"/>
      <c r="AL70" s="120"/>
      <c r="AM70" s="133"/>
      <c r="AN70" s="133"/>
      <c r="AO70" s="112">
        <v>8</v>
      </c>
    </row>
    <row r="71" spans="1:41" x14ac:dyDescent="0.3">
      <c r="A71" s="112">
        <f t="shared" si="33"/>
        <v>70</v>
      </c>
      <c r="B71" s="113" t="str">
        <f t="shared" si="29"/>
        <v>January</v>
      </c>
      <c r="C71" s="113">
        <f t="shared" si="29"/>
        <v>1</v>
      </c>
      <c r="D71" s="114">
        <v>45292</v>
      </c>
      <c r="E71" s="115">
        <f t="shared" si="22"/>
        <v>2024</v>
      </c>
      <c r="F71" s="115" t="s">
        <v>1168</v>
      </c>
      <c r="G71" s="116">
        <f t="shared" si="23"/>
        <v>31</v>
      </c>
      <c r="H71" s="121">
        <f t="shared" si="30"/>
        <v>151.6</v>
      </c>
      <c r="I71" s="121">
        <f t="shared" si="30"/>
        <v>183.9</v>
      </c>
      <c r="J71" s="118"/>
      <c r="K71" s="117"/>
      <c r="L71" s="116"/>
      <c r="M71" s="125">
        <f t="shared" si="21"/>
        <v>1087.4825563322993</v>
      </c>
      <c r="N71" s="119">
        <v>8.0208999999999993</v>
      </c>
      <c r="O71" s="120">
        <f t="shared" si="34"/>
        <v>0.73725456161784642</v>
      </c>
      <c r="P71" s="118">
        <f t="shared" si="35"/>
        <v>5.9322580645161294</v>
      </c>
      <c r="Q71" s="116">
        <f>COUNTIFS('Daily KPI'!$D:$D,D71,'Daily KPI'!$O:$O,"&gt;0")</f>
        <v>0</v>
      </c>
      <c r="R71" s="119">
        <f t="shared" si="36"/>
        <v>0</v>
      </c>
      <c r="S71" s="119">
        <f>SUMIF($F$2:F71,F71,$R$2:R71)</f>
        <v>0</v>
      </c>
      <c r="T71" s="118">
        <f t="shared" si="37"/>
        <v>35.080082462332236</v>
      </c>
      <c r="U71" s="119">
        <f t="shared" si="38"/>
        <v>0</v>
      </c>
      <c r="V71" s="119">
        <f>SUMIF($F$2:F71,F71,$U$2:U71)</f>
        <v>0</v>
      </c>
      <c r="W71" s="120">
        <f t="shared" si="39"/>
        <v>0.18223267994828218</v>
      </c>
      <c r="X71" s="120" t="str">
        <f t="shared" si="31"/>
        <v/>
      </c>
      <c r="Y71" s="120" t="str">
        <f t="shared" si="32"/>
        <v/>
      </c>
      <c r="Z71" s="118" t="str">
        <f>IFERROR(AVERAGEIF('Daily KPI'!$D:$D,Table14[[#This Row],[Month]],'Daily KPI'!$AB:$AB),"")</f>
        <v/>
      </c>
      <c r="AA71" s="121">
        <f>IFERROR(AVERAGEIF($F$2:F71,F71,$N$2:N71),"")</f>
        <v>8.0208999999999993</v>
      </c>
      <c r="AB71" s="119"/>
      <c r="AC71" s="118"/>
      <c r="AD71" s="118"/>
      <c r="AE71" s="120">
        <v>0.98040000000000005</v>
      </c>
      <c r="AF71" s="120">
        <v>0.98</v>
      </c>
      <c r="AG71" s="120"/>
      <c r="AH71" s="120"/>
      <c r="AI71" s="120"/>
      <c r="AJ71" s="120"/>
      <c r="AK71" s="120"/>
      <c r="AL71" s="120"/>
      <c r="AM71" s="133"/>
      <c r="AN71" s="133"/>
      <c r="AO71" s="112">
        <v>8</v>
      </c>
    </row>
    <row r="72" spans="1:41" x14ac:dyDescent="0.3">
      <c r="A72" s="112">
        <f t="shared" si="33"/>
        <v>71</v>
      </c>
      <c r="B72" s="113" t="str">
        <f t="shared" si="29"/>
        <v>February</v>
      </c>
      <c r="C72" s="113">
        <f t="shared" si="29"/>
        <v>2</v>
      </c>
      <c r="D72" s="114">
        <v>45323</v>
      </c>
      <c r="E72" s="115">
        <f t="shared" si="22"/>
        <v>2024</v>
      </c>
      <c r="F72" s="115" t="s">
        <v>1168</v>
      </c>
      <c r="G72" s="116">
        <f t="shared" si="23"/>
        <v>29</v>
      </c>
      <c r="H72" s="121">
        <f t="shared" si="30"/>
        <v>159.9</v>
      </c>
      <c r="I72" s="121">
        <f t="shared" si="30"/>
        <v>184</v>
      </c>
      <c r="J72" s="118"/>
      <c r="K72" s="117"/>
      <c r="L72" s="116"/>
      <c r="M72" s="125">
        <f t="shared" si="21"/>
        <v>1038.6058690088</v>
      </c>
      <c r="N72" s="119">
        <v>8.0208999999999993</v>
      </c>
      <c r="O72" s="120">
        <f t="shared" si="34"/>
        <v>0.70373612863622048</v>
      </c>
      <c r="P72" s="118">
        <f t="shared" si="35"/>
        <v>6.3448275862068968</v>
      </c>
      <c r="Q72" s="116">
        <f>COUNTIFS('Daily KPI'!$D:$D,D72,'Daily KPI'!$O:$O,"&gt;0")</f>
        <v>0</v>
      </c>
      <c r="R72" s="119">
        <f t="shared" si="36"/>
        <v>0</v>
      </c>
      <c r="S72" s="119">
        <f>SUMIF($F$2:F72,F72,$R$2:R72)</f>
        <v>0</v>
      </c>
      <c r="T72" s="118">
        <f t="shared" si="37"/>
        <v>35.813995483062072</v>
      </c>
      <c r="U72" s="119">
        <f t="shared" si="38"/>
        <v>0</v>
      </c>
      <c r="V72" s="119">
        <f>SUMIF($F$2:F72,F72,$U$2:U72)</f>
        <v>0</v>
      </c>
      <c r="W72" s="120">
        <f t="shared" si="39"/>
        <v>0.18604518343256407</v>
      </c>
      <c r="X72" s="120" t="str">
        <f t="shared" si="31"/>
        <v/>
      </c>
      <c r="Y72" s="120" t="str">
        <f t="shared" si="32"/>
        <v/>
      </c>
      <c r="Z72" s="118" t="str">
        <f>IFERROR(AVERAGEIF('Daily KPI'!$D:$D,Table14[[#This Row],[Month]],'Daily KPI'!$AB:$AB),"")</f>
        <v/>
      </c>
      <c r="AA72" s="121">
        <f>IFERROR(AVERAGEIF($F$2:F72,F72,$N$2:N72),"")</f>
        <v>8.0208999999999993</v>
      </c>
      <c r="AB72" s="119"/>
      <c r="AC72" s="118"/>
      <c r="AD72" s="118"/>
      <c r="AE72" s="120">
        <v>0.98040000000000005</v>
      </c>
      <c r="AF72" s="120">
        <v>0.98</v>
      </c>
      <c r="AG72" s="120"/>
      <c r="AH72" s="120"/>
      <c r="AI72" s="120"/>
      <c r="AJ72" s="120"/>
      <c r="AK72" s="120"/>
      <c r="AL72" s="120"/>
      <c r="AM72" s="133"/>
      <c r="AN72" s="133"/>
      <c r="AO72" s="112">
        <v>8</v>
      </c>
    </row>
    <row r="73" spans="1:41" x14ac:dyDescent="0.3">
      <c r="A73" s="112">
        <f t="shared" si="33"/>
        <v>72</v>
      </c>
      <c r="B73" s="113" t="str">
        <f t="shared" si="29"/>
        <v>March</v>
      </c>
      <c r="C73" s="113">
        <f t="shared" si="29"/>
        <v>3</v>
      </c>
      <c r="D73" s="114">
        <v>45352</v>
      </c>
      <c r="E73" s="115">
        <f t="shared" si="22"/>
        <v>2024</v>
      </c>
      <c r="F73" s="115" t="s">
        <v>1168</v>
      </c>
      <c r="G73" s="116">
        <f t="shared" si="23"/>
        <v>31</v>
      </c>
      <c r="H73" s="121">
        <f t="shared" si="30"/>
        <v>197.2</v>
      </c>
      <c r="I73" s="121">
        <f t="shared" si="30"/>
        <v>210.4</v>
      </c>
      <c r="J73" s="118"/>
      <c r="K73" s="117"/>
      <c r="L73" s="116"/>
      <c r="M73" s="125">
        <f t="shared" si="21"/>
        <v>1204.1880014021069</v>
      </c>
      <c r="N73" s="119">
        <v>8.0208999999999993</v>
      </c>
      <c r="O73" s="120">
        <f t="shared" si="34"/>
        <v>0.71355172148533519</v>
      </c>
      <c r="P73" s="118">
        <f t="shared" si="35"/>
        <v>6.7870967741935484</v>
      </c>
      <c r="Q73" s="116">
        <f>COUNTIFS('Daily KPI'!$D:$D,D73,'Daily KPI'!$O:$O,"&gt;0")</f>
        <v>0</v>
      </c>
      <c r="R73" s="119">
        <f t="shared" si="36"/>
        <v>0</v>
      </c>
      <c r="S73" s="119">
        <f>SUMIF($F$2:F73,F73,$R$2:R73)</f>
        <v>0</v>
      </c>
      <c r="T73" s="118">
        <f t="shared" si="37"/>
        <v>38.844774238777646</v>
      </c>
      <c r="U73" s="119">
        <f t="shared" si="38"/>
        <v>0</v>
      </c>
      <c r="V73" s="119">
        <f>SUMIF($F$2:F73,F73,$U$2:U73)</f>
        <v>0</v>
      </c>
      <c r="W73" s="120">
        <f t="shared" si="39"/>
        <v>0.20178935779639051</v>
      </c>
      <c r="X73" s="120" t="str">
        <f t="shared" si="31"/>
        <v/>
      </c>
      <c r="Y73" s="120" t="str">
        <f t="shared" si="32"/>
        <v/>
      </c>
      <c r="Z73" s="118" t="str">
        <f>IFERROR(AVERAGEIF('Daily KPI'!$D:$D,Table14[[#This Row],[Month]],'Daily KPI'!$AB:$AB),"")</f>
        <v/>
      </c>
      <c r="AA73" s="121">
        <f>IFERROR(AVERAGEIF($F$2:F73,F73,$N$2:N73),"")</f>
        <v>8.0208999999999993</v>
      </c>
      <c r="AB73" s="119"/>
      <c r="AC73" s="118"/>
      <c r="AD73" s="118"/>
      <c r="AE73" s="120">
        <v>0.98040000000000005</v>
      </c>
      <c r="AF73" s="120">
        <v>0.98</v>
      </c>
      <c r="AG73" s="120"/>
      <c r="AH73" s="120"/>
      <c r="AI73" s="120"/>
      <c r="AJ73" s="120"/>
      <c r="AK73" s="120"/>
      <c r="AL73" s="120"/>
      <c r="AM73" s="133"/>
      <c r="AN73" s="133"/>
      <c r="AO73" s="112">
        <v>8</v>
      </c>
    </row>
    <row r="74" spans="1:41" x14ac:dyDescent="0.3">
      <c r="A74" s="112">
        <f t="shared" si="33"/>
        <v>73</v>
      </c>
      <c r="B74" s="113" t="str">
        <f t="shared" si="29"/>
        <v>April</v>
      </c>
      <c r="C74" s="113">
        <f t="shared" si="29"/>
        <v>4</v>
      </c>
      <c r="D74" s="114">
        <v>45383</v>
      </c>
      <c r="E74" s="115">
        <f t="shared" si="22"/>
        <v>2024</v>
      </c>
      <c r="F74" s="115" t="s">
        <v>1169</v>
      </c>
      <c r="G74" s="116">
        <f t="shared" si="23"/>
        <v>30</v>
      </c>
      <c r="H74" s="121">
        <f t="shared" si="30"/>
        <v>193.6</v>
      </c>
      <c r="I74" s="121">
        <f t="shared" si="30"/>
        <v>191.7</v>
      </c>
      <c r="J74" s="118"/>
      <c r="K74" s="117"/>
      <c r="L74" s="116"/>
      <c r="M74" s="125">
        <f t="shared" si="21"/>
        <v>1055.6537985859879</v>
      </c>
      <c r="N74" s="119">
        <v>8.0208999999999993</v>
      </c>
      <c r="O74" s="120">
        <f t="shared" si="34"/>
        <v>0.68655652664663702</v>
      </c>
      <c r="P74" s="118">
        <f t="shared" si="35"/>
        <v>6.39</v>
      </c>
      <c r="Q74" s="116">
        <f>COUNTIFS('Daily KPI'!$D:$D,D74,'Daily KPI'!$O:$O,"&gt;0")</f>
        <v>0</v>
      </c>
      <c r="R74" s="119">
        <f t="shared" si="36"/>
        <v>0</v>
      </c>
      <c r="S74" s="119">
        <f>SUMIF($F$2:F74,F74,$R$2:R74)</f>
        <v>0</v>
      </c>
      <c r="T74" s="118">
        <f t="shared" si="37"/>
        <v>35.188459952866268</v>
      </c>
      <c r="U74" s="119">
        <f t="shared" si="38"/>
        <v>0</v>
      </c>
      <c r="V74" s="119">
        <f>SUMIF($F$2:F74,F74,$U$2:U74)</f>
        <v>0</v>
      </c>
      <c r="W74" s="120">
        <f t="shared" si="39"/>
        <v>0.18279567521966711</v>
      </c>
      <c r="X74" s="120" t="str">
        <f t="shared" si="31"/>
        <v/>
      </c>
      <c r="Y74" s="120" t="str">
        <f t="shared" si="32"/>
        <v/>
      </c>
      <c r="Z74" s="118" t="str">
        <f>IFERROR(AVERAGEIF('Daily KPI'!$D:$D,Table14[[#This Row],[Month]],'Daily KPI'!$AB:$AB),"")</f>
        <v/>
      </c>
      <c r="AA74" s="121">
        <f>IFERROR(AVERAGEIF($F$2:F74,F74,$N$2:N74),"")</f>
        <v>8.0208999999999993</v>
      </c>
      <c r="AB74" s="119"/>
      <c r="AC74" s="118"/>
      <c r="AD74" s="118"/>
      <c r="AE74" s="120">
        <v>0.98040000000000005</v>
      </c>
      <c r="AF74" s="120">
        <v>0.98</v>
      </c>
      <c r="AG74" s="120"/>
      <c r="AH74" s="120"/>
      <c r="AI74" s="120"/>
      <c r="AJ74" s="120"/>
      <c r="AK74" s="120"/>
      <c r="AL74" s="120"/>
      <c r="AM74" s="133"/>
      <c r="AN74" s="133"/>
      <c r="AO74" s="112">
        <v>8</v>
      </c>
    </row>
    <row r="75" spans="1:41" x14ac:dyDescent="0.3">
      <c r="A75" s="112">
        <f t="shared" si="33"/>
        <v>74</v>
      </c>
      <c r="B75" s="113" t="str">
        <f t="shared" si="29"/>
        <v>May</v>
      </c>
      <c r="C75" s="113">
        <f t="shared" si="29"/>
        <v>5</v>
      </c>
      <c r="D75" s="114">
        <v>45413</v>
      </c>
      <c r="E75" s="115">
        <f t="shared" si="22"/>
        <v>2024</v>
      </c>
      <c r="F75" s="115" t="s">
        <v>1169</v>
      </c>
      <c r="G75" s="116">
        <f t="shared" si="23"/>
        <v>31</v>
      </c>
      <c r="H75" s="121">
        <f t="shared" si="30"/>
        <v>198.6</v>
      </c>
      <c r="I75" s="121">
        <f t="shared" si="30"/>
        <v>186.4</v>
      </c>
      <c r="J75" s="118"/>
      <c r="K75" s="117"/>
      <c r="L75" s="116"/>
      <c r="M75" s="125">
        <f t="shared" si="21"/>
        <v>1060.9585915437065</v>
      </c>
      <c r="N75" s="119">
        <v>8.0208999999999993</v>
      </c>
      <c r="O75" s="120">
        <f t="shared" si="34"/>
        <v>0.70962584466409462</v>
      </c>
      <c r="P75" s="118">
        <f t="shared" si="35"/>
        <v>6.0129032258064514</v>
      </c>
      <c r="Q75" s="116">
        <f>COUNTIFS('Daily KPI'!$D:$D,D75,'Daily KPI'!$O:$O,"&gt;0")</f>
        <v>0</v>
      </c>
      <c r="R75" s="119">
        <f t="shared" si="36"/>
        <v>0</v>
      </c>
      <c r="S75" s="119">
        <f>SUMIF($F$2:F75,F75,$R$2:R75)</f>
        <v>0</v>
      </c>
      <c r="T75" s="118">
        <f t="shared" si="37"/>
        <v>34.224470694958271</v>
      </c>
      <c r="U75" s="119">
        <f t="shared" si="38"/>
        <v>0</v>
      </c>
      <c r="V75" s="119">
        <f>SUMIF($F$2:F75,F75,$U$2:U75)</f>
        <v>0</v>
      </c>
      <c r="W75" s="120">
        <f t="shared" si="39"/>
        <v>0.17778798043734842</v>
      </c>
      <c r="X75" s="120" t="str">
        <f t="shared" si="31"/>
        <v/>
      </c>
      <c r="Y75" s="120" t="str">
        <f t="shared" si="32"/>
        <v/>
      </c>
      <c r="Z75" s="118" t="str">
        <f>IFERROR(AVERAGEIF('Daily KPI'!$D:$D,Table14[[#This Row],[Month]],'Daily KPI'!$AB:$AB),"")</f>
        <v/>
      </c>
      <c r="AA75" s="121">
        <f>IFERROR(AVERAGEIF($F$2:F75,F75,$N$2:N75),"")</f>
        <v>8.0208999999999993</v>
      </c>
      <c r="AB75" s="119"/>
      <c r="AC75" s="118"/>
      <c r="AD75" s="118"/>
      <c r="AE75" s="120">
        <v>0.98040000000000005</v>
      </c>
      <c r="AF75" s="120">
        <v>0.98</v>
      </c>
      <c r="AG75" s="120"/>
      <c r="AH75" s="120"/>
      <c r="AI75" s="120"/>
      <c r="AJ75" s="120"/>
      <c r="AK75" s="120"/>
      <c r="AL75" s="120"/>
      <c r="AM75" s="133"/>
      <c r="AN75" s="133"/>
      <c r="AO75" s="112">
        <v>8</v>
      </c>
    </row>
    <row r="76" spans="1:41" x14ac:dyDescent="0.3">
      <c r="A76" s="112">
        <f t="shared" si="33"/>
        <v>75</v>
      </c>
      <c r="B76" s="113" t="str">
        <f t="shared" si="29"/>
        <v>June</v>
      </c>
      <c r="C76" s="113">
        <f t="shared" si="29"/>
        <v>6</v>
      </c>
      <c r="D76" s="114">
        <v>45444</v>
      </c>
      <c r="E76" s="115">
        <f t="shared" si="22"/>
        <v>2024</v>
      </c>
      <c r="F76" s="115" t="s">
        <v>1169</v>
      </c>
      <c r="G76" s="116">
        <f t="shared" si="23"/>
        <v>30</v>
      </c>
      <c r="H76" s="121">
        <f t="shared" si="30"/>
        <v>154.80000000000001</v>
      </c>
      <c r="I76" s="121">
        <f t="shared" si="30"/>
        <v>142.80000000000001</v>
      </c>
      <c r="J76" s="118"/>
      <c r="K76" s="117"/>
      <c r="L76" s="116"/>
      <c r="M76" s="125">
        <f t="shared" si="21"/>
        <v>790.41415070006133</v>
      </c>
      <c r="N76" s="119">
        <v>8.0208999999999993</v>
      </c>
      <c r="O76" s="120">
        <f t="shared" si="34"/>
        <v>0.6900862870925315</v>
      </c>
      <c r="P76" s="118">
        <f t="shared" si="35"/>
        <v>4.7600000000000007</v>
      </c>
      <c r="Q76" s="116">
        <f>COUNTIFS('Daily KPI'!$D:$D,D76,'Daily KPI'!$O:$O,"&gt;0")</f>
        <v>0</v>
      </c>
      <c r="R76" s="119">
        <f t="shared" si="36"/>
        <v>0</v>
      </c>
      <c r="S76" s="119">
        <f>SUMIF($F$2:F76,F76,$R$2:R76)</f>
        <v>0</v>
      </c>
      <c r="T76" s="118">
        <f t="shared" si="37"/>
        <v>26.347138356668712</v>
      </c>
      <c r="U76" s="119">
        <f t="shared" si="38"/>
        <v>0</v>
      </c>
      <c r="V76" s="119">
        <f>SUMIF($F$2:F76,F76,$U$2:U76)</f>
        <v>0</v>
      </c>
      <c r="W76" s="120">
        <f t="shared" si="39"/>
        <v>0.13686711360668541</v>
      </c>
      <c r="X76" s="120" t="str">
        <f t="shared" si="31"/>
        <v/>
      </c>
      <c r="Y76" s="120" t="str">
        <f t="shared" si="32"/>
        <v/>
      </c>
      <c r="Z76" s="118" t="str">
        <f>IFERROR(AVERAGEIF('Daily KPI'!$D:$D,Table14[[#This Row],[Month]],'Daily KPI'!$AB:$AB),"")</f>
        <v/>
      </c>
      <c r="AA76" s="121">
        <f>IFERROR(AVERAGEIF($F$2:F76,F76,$N$2:N76),"")</f>
        <v>8.0208999999999993</v>
      </c>
      <c r="AB76" s="119"/>
      <c r="AC76" s="118"/>
      <c r="AD76" s="118"/>
      <c r="AE76" s="120">
        <v>0.98040000000000005</v>
      </c>
      <c r="AF76" s="120">
        <v>0.98</v>
      </c>
      <c r="AG76" s="120"/>
      <c r="AH76" s="120"/>
      <c r="AI76" s="120"/>
      <c r="AJ76" s="120"/>
      <c r="AK76" s="120"/>
      <c r="AL76" s="120"/>
      <c r="AM76" s="133"/>
      <c r="AN76" s="133"/>
      <c r="AO76" s="112">
        <v>8</v>
      </c>
    </row>
    <row r="77" spans="1:41" x14ac:dyDescent="0.3">
      <c r="A77" s="112">
        <f t="shared" si="33"/>
        <v>76</v>
      </c>
      <c r="B77" s="113" t="str">
        <f t="shared" si="29"/>
        <v>July</v>
      </c>
      <c r="C77" s="113">
        <f t="shared" si="29"/>
        <v>7</v>
      </c>
      <c r="D77" s="114">
        <v>45474</v>
      </c>
      <c r="E77" s="115">
        <f t="shared" si="22"/>
        <v>2024</v>
      </c>
      <c r="F77" s="115" t="s">
        <v>1169</v>
      </c>
      <c r="G77" s="116">
        <f t="shared" si="23"/>
        <v>31</v>
      </c>
      <c r="H77" s="121">
        <f t="shared" si="30"/>
        <v>134.4</v>
      </c>
      <c r="I77" s="121">
        <f t="shared" si="30"/>
        <v>125.4</v>
      </c>
      <c r="J77" s="118"/>
      <c r="K77" s="117"/>
      <c r="L77" s="116"/>
      <c r="M77" s="125">
        <f t="shared" si="21"/>
        <v>721.45184224972047</v>
      </c>
      <c r="N77" s="119">
        <v>8.0208999999999993</v>
      </c>
      <c r="O77" s="120">
        <f t="shared" si="34"/>
        <v>0.71727667514245075</v>
      </c>
      <c r="P77" s="118">
        <f t="shared" si="35"/>
        <v>4.0451612903225804</v>
      </c>
      <c r="Q77" s="116">
        <f>COUNTIFS('Daily KPI'!$D:$D,D77,'Daily KPI'!$O:$O,"&gt;0")</f>
        <v>0</v>
      </c>
      <c r="R77" s="119">
        <f t="shared" si="36"/>
        <v>0</v>
      </c>
      <c r="S77" s="119">
        <f>SUMIF($F$2:F77,F77,$R$2:R77)</f>
        <v>0</v>
      </c>
      <c r="T77" s="118">
        <f t="shared" si="37"/>
        <v>23.27264007257163</v>
      </c>
      <c r="U77" s="119">
        <f t="shared" si="38"/>
        <v>0</v>
      </c>
      <c r="V77" s="119">
        <f>SUMIF($F$2:F77,F77,$U$2:U77)</f>
        <v>0</v>
      </c>
      <c r="W77" s="120">
        <f t="shared" si="39"/>
        <v>0.12089582669739696</v>
      </c>
      <c r="X77" s="120" t="str">
        <f t="shared" si="31"/>
        <v/>
      </c>
      <c r="Y77" s="120" t="str">
        <f t="shared" si="32"/>
        <v/>
      </c>
      <c r="Z77" s="118" t="str">
        <f>IFERROR(AVERAGEIF('Daily KPI'!$D:$D,Table14[[#This Row],[Month]],'Daily KPI'!$AB:$AB),"")</f>
        <v/>
      </c>
      <c r="AA77" s="121">
        <f>IFERROR(AVERAGEIF($F$2:F77,F77,$N$2:N77),"")</f>
        <v>8.0208999999999993</v>
      </c>
      <c r="AB77" s="119"/>
      <c r="AC77" s="118"/>
      <c r="AD77" s="118"/>
      <c r="AE77" s="120">
        <v>0.98040000000000005</v>
      </c>
      <c r="AF77" s="120">
        <v>0.98</v>
      </c>
      <c r="AG77" s="120"/>
      <c r="AH77" s="120"/>
      <c r="AI77" s="120"/>
      <c r="AJ77" s="120"/>
      <c r="AK77" s="120"/>
      <c r="AL77" s="120"/>
      <c r="AM77" s="133"/>
      <c r="AN77" s="133"/>
      <c r="AO77" s="112">
        <v>8</v>
      </c>
    </row>
    <row r="78" spans="1:41" x14ac:dyDescent="0.3">
      <c r="A78" s="112">
        <f t="shared" si="33"/>
        <v>77</v>
      </c>
      <c r="B78" s="113" t="str">
        <f t="shared" si="29"/>
        <v>August</v>
      </c>
      <c r="C78" s="113">
        <f t="shared" si="29"/>
        <v>8</v>
      </c>
      <c r="D78" s="114">
        <v>45505</v>
      </c>
      <c r="E78" s="115">
        <f t="shared" si="22"/>
        <v>2024</v>
      </c>
      <c r="F78" s="115" t="s">
        <v>1169</v>
      </c>
      <c r="G78" s="116">
        <f t="shared" si="23"/>
        <v>31</v>
      </c>
      <c r="H78" s="121">
        <f t="shared" si="30"/>
        <v>134.6</v>
      </c>
      <c r="I78" s="121">
        <f t="shared" si="30"/>
        <v>130.69999999999999</v>
      </c>
      <c r="J78" s="118"/>
      <c r="K78" s="117"/>
      <c r="L78" s="116"/>
      <c r="M78" s="125">
        <f t="shared" si="21"/>
        <v>763.89018591146873</v>
      </c>
      <c r="N78" s="119">
        <v>8.0208999999999993</v>
      </c>
      <c r="O78" s="120">
        <f t="shared" si="34"/>
        <v>0.72867226748797886</v>
      </c>
      <c r="P78" s="118">
        <f t="shared" si="35"/>
        <v>4.2161290322580642</v>
      </c>
      <c r="Q78" s="116">
        <f>COUNTIFS('Daily KPI'!$D:$D,D78,'Daily KPI'!$O:$O,"&gt;0")</f>
        <v>0</v>
      </c>
      <c r="R78" s="119">
        <f t="shared" si="36"/>
        <v>0</v>
      </c>
      <c r="S78" s="119">
        <f>SUMIF($F$2:F78,F78,$R$2:R78)</f>
        <v>0</v>
      </c>
      <c r="T78" s="118">
        <f t="shared" si="37"/>
        <v>24.641618900369959</v>
      </c>
      <c r="U78" s="119">
        <f t="shared" si="38"/>
        <v>0</v>
      </c>
      <c r="V78" s="119">
        <f>SUMIF($F$2:F78,F78,$U$2:U78)</f>
        <v>0</v>
      </c>
      <c r="W78" s="120">
        <f t="shared" si="39"/>
        <v>0.12800734591489088</v>
      </c>
      <c r="X78" s="120" t="str">
        <f t="shared" si="31"/>
        <v/>
      </c>
      <c r="Y78" s="120" t="str">
        <f t="shared" si="32"/>
        <v/>
      </c>
      <c r="Z78" s="118" t="str">
        <f>IFERROR(AVERAGEIF('Daily KPI'!$D:$D,Table14[[#This Row],[Month]],'Daily KPI'!$AB:$AB),"")</f>
        <v/>
      </c>
      <c r="AA78" s="121">
        <f>IFERROR(AVERAGEIF($F$2:F78,F78,$N$2:N78),"")</f>
        <v>8.0208999999999993</v>
      </c>
      <c r="AB78" s="119"/>
      <c r="AC78" s="118"/>
      <c r="AD78" s="118"/>
      <c r="AE78" s="120">
        <v>0.98040000000000005</v>
      </c>
      <c r="AF78" s="120">
        <v>0.98</v>
      </c>
      <c r="AG78" s="120"/>
      <c r="AH78" s="120"/>
      <c r="AI78" s="120"/>
      <c r="AJ78" s="120"/>
      <c r="AK78" s="120"/>
      <c r="AL78" s="120"/>
      <c r="AM78" s="133"/>
      <c r="AN78" s="133"/>
      <c r="AO78" s="112">
        <v>8</v>
      </c>
    </row>
    <row r="79" spans="1:41" x14ac:dyDescent="0.3">
      <c r="A79" s="112">
        <f t="shared" si="33"/>
        <v>78</v>
      </c>
      <c r="B79" s="113" t="str">
        <f t="shared" ref="B79:C94" si="40">B67</f>
        <v>September</v>
      </c>
      <c r="C79" s="113">
        <f t="shared" si="40"/>
        <v>9</v>
      </c>
      <c r="D79" s="114">
        <v>45536</v>
      </c>
      <c r="E79" s="115">
        <f t="shared" si="22"/>
        <v>2024</v>
      </c>
      <c r="F79" s="115" t="s">
        <v>1169</v>
      </c>
      <c r="G79" s="116">
        <f t="shared" si="23"/>
        <v>30</v>
      </c>
      <c r="H79" s="121">
        <f t="shared" ref="H79:I94" si="41">H67</f>
        <v>142.5</v>
      </c>
      <c r="I79" s="121">
        <f t="shared" si="41"/>
        <v>145.4</v>
      </c>
      <c r="J79" s="118"/>
      <c r="K79" s="117"/>
      <c r="L79" s="116"/>
      <c r="M79" s="125">
        <f t="shared" ref="M79:M85" si="42">M67</f>
        <v>827.54770140409107</v>
      </c>
      <c r="N79" s="119">
        <v>8.0208999999999993</v>
      </c>
      <c r="O79" s="120">
        <f t="shared" si="34"/>
        <v>0.70958680060111445</v>
      </c>
      <c r="P79" s="118">
        <f t="shared" si="35"/>
        <v>4.8466666666666667</v>
      </c>
      <c r="Q79" s="116">
        <f>COUNTIFS('Daily KPI'!$D:$D,D79,'Daily KPI'!$O:$O,"&gt;0")</f>
        <v>0</v>
      </c>
      <c r="R79" s="119">
        <f t="shared" si="36"/>
        <v>0</v>
      </c>
      <c r="S79" s="119">
        <f>SUMIF($F$2:F79,F79,$R$2:R79)</f>
        <v>0</v>
      </c>
      <c r="T79" s="118">
        <f t="shared" si="37"/>
        <v>27.58492338013637</v>
      </c>
      <c r="U79" s="119">
        <f t="shared" si="38"/>
        <v>0</v>
      </c>
      <c r="V79" s="119">
        <f>SUMIF($F$2:F79,F79,$U$2:U79)</f>
        <v>0</v>
      </c>
      <c r="W79" s="120">
        <f t="shared" si="39"/>
        <v>0.14329711223250285</v>
      </c>
      <c r="X79" s="120" t="str">
        <f t="shared" si="31"/>
        <v/>
      </c>
      <c r="Y79" s="120" t="str">
        <f t="shared" si="32"/>
        <v/>
      </c>
      <c r="Z79" s="118" t="str">
        <f>IFERROR(AVERAGEIF('Daily KPI'!$D:$D,Table14[[#This Row],[Month]],'Daily KPI'!$AB:$AB),"")</f>
        <v/>
      </c>
      <c r="AA79" s="121">
        <f>IFERROR(AVERAGEIF($F$2:F79,F79,$N$2:N79),"")</f>
        <v>8.0208999999999993</v>
      </c>
      <c r="AB79" s="119"/>
      <c r="AC79" s="118"/>
      <c r="AD79" s="118"/>
      <c r="AE79" s="120">
        <v>0.98040000000000005</v>
      </c>
      <c r="AF79" s="120">
        <v>0.98</v>
      </c>
      <c r="AG79" s="120"/>
      <c r="AH79" s="120"/>
      <c r="AI79" s="120"/>
      <c r="AJ79" s="120"/>
      <c r="AK79" s="120"/>
      <c r="AL79" s="120"/>
      <c r="AM79" s="133"/>
      <c r="AN79" s="133"/>
      <c r="AO79" s="112">
        <v>8</v>
      </c>
    </row>
    <row r="80" spans="1:41" x14ac:dyDescent="0.3">
      <c r="A80" s="112">
        <f t="shared" si="33"/>
        <v>79</v>
      </c>
      <c r="B80" s="113" t="str">
        <f t="shared" si="40"/>
        <v>October</v>
      </c>
      <c r="C80" s="113">
        <f t="shared" si="40"/>
        <v>10</v>
      </c>
      <c r="D80" s="114">
        <v>45566</v>
      </c>
      <c r="E80" s="115">
        <f t="shared" ref="E80:E97" si="43">YEAR(D80)</f>
        <v>2024</v>
      </c>
      <c r="F80" s="115" t="s">
        <v>1169</v>
      </c>
      <c r="G80" s="116">
        <f t="shared" ref="G80:G96" si="44">DAY(EOMONTH(D80,0))</f>
        <v>31</v>
      </c>
      <c r="H80" s="121">
        <f t="shared" si="41"/>
        <v>145.69999999999999</v>
      </c>
      <c r="I80" s="121">
        <f t="shared" si="41"/>
        <v>158.80000000000001</v>
      </c>
      <c r="J80" s="118"/>
      <c r="K80" s="117"/>
      <c r="L80" s="116"/>
      <c r="M80" s="125">
        <f t="shared" si="42"/>
        <v>938.9483535161803</v>
      </c>
      <c r="N80" s="119">
        <v>8.0208999999999993</v>
      </c>
      <c r="O80" s="120">
        <f t="shared" si="34"/>
        <v>0.73717076724916697</v>
      </c>
      <c r="P80" s="118">
        <f t="shared" si="35"/>
        <v>5.1225806451612907</v>
      </c>
      <c r="Q80" s="116">
        <f>COUNTIFS('Daily KPI'!$D:$D,D80,'Daily KPI'!$O:$O,"&gt;0")</f>
        <v>0</v>
      </c>
      <c r="R80" s="119">
        <f t="shared" si="36"/>
        <v>0</v>
      </c>
      <c r="S80" s="119">
        <f>SUMIF($F$2:F80,F80,$R$2:R80)</f>
        <v>0</v>
      </c>
      <c r="T80" s="118">
        <f t="shared" si="37"/>
        <v>30.288656565038075</v>
      </c>
      <c r="U80" s="119">
        <f t="shared" si="38"/>
        <v>0</v>
      </c>
      <c r="V80" s="119">
        <f>SUMIF($F$2:F80,F80,$U$2:U80)</f>
        <v>0</v>
      </c>
      <c r="W80" s="120">
        <f t="shared" si="39"/>
        <v>0.15734236268705337</v>
      </c>
      <c r="X80" s="120" t="str">
        <f t="shared" si="31"/>
        <v/>
      </c>
      <c r="Y80" s="120" t="str">
        <f t="shared" si="32"/>
        <v/>
      </c>
      <c r="Z80" s="118" t="str">
        <f>IFERROR(AVERAGEIF('Daily KPI'!$D:$D,Table14[[#This Row],[Month]],'Daily KPI'!$AB:$AB),"")</f>
        <v/>
      </c>
      <c r="AA80" s="121">
        <f>IFERROR(AVERAGEIF($F$2:F80,F80,$N$2:N80),"")</f>
        <v>8.0208999999999993</v>
      </c>
      <c r="AB80" s="119"/>
      <c r="AC80" s="118"/>
      <c r="AD80" s="118"/>
      <c r="AE80" s="120">
        <v>0.98040000000000005</v>
      </c>
      <c r="AF80" s="120">
        <v>0.98</v>
      </c>
      <c r="AG80" s="120"/>
      <c r="AH80" s="120"/>
      <c r="AI80" s="120"/>
      <c r="AJ80" s="120"/>
      <c r="AK80" s="120"/>
      <c r="AL80" s="120"/>
      <c r="AM80" s="133"/>
      <c r="AN80" s="133"/>
      <c r="AO80" s="112">
        <v>8</v>
      </c>
    </row>
    <row r="81" spans="1:41" x14ac:dyDescent="0.3">
      <c r="A81" s="112">
        <f t="shared" si="33"/>
        <v>80</v>
      </c>
      <c r="B81" s="113" t="str">
        <f t="shared" si="40"/>
        <v>November</v>
      </c>
      <c r="C81" s="113">
        <f t="shared" si="40"/>
        <v>11</v>
      </c>
      <c r="D81" s="114">
        <v>45597</v>
      </c>
      <c r="E81" s="115">
        <f t="shared" si="43"/>
        <v>2024</v>
      </c>
      <c r="F81" s="115" t="s">
        <v>1169</v>
      </c>
      <c r="G81" s="116">
        <f t="shared" si="44"/>
        <v>30</v>
      </c>
      <c r="H81" s="121">
        <f t="shared" si="41"/>
        <v>138.9</v>
      </c>
      <c r="I81" s="121">
        <f t="shared" si="41"/>
        <v>163</v>
      </c>
      <c r="J81" s="118"/>
      <c r="K81" s="117"/>
      <c r="L81" s="116"/>
      <c r="M81" s="125">
        <f t="shared" si="42"/>
        <v>944.25314647389882</v>
      </c>
      <c r="N81" s="119">
        <v>8.0208999999999993</v>
      </c>
      <c r="O81" s="120">
        <f t="shared" si="34"/>
        <v>0.7222336756220531</v>
      </c>
      <c r="P81" s="118">
        <f t="shared" si="35"/>
        <v>5.4333333333333336</v>
      </c>
      <c r="Q81" s="116">
        <f>COUNTIFS('Daily KPI'!$D:$D,D81,'Daily KPI'!$O:$O,"&gt;0")</f>
        <v>0</v>
      </c>
      <c r="R81" s="119">
        <f t="shared" si="36"/>
        <v>0</v>
      </c>
      <c r="S81" s="119">
        <f>SUMIF($F$2:F81,F81,$R$2:R81)</f>
        <v>0</v>
      </c>
      <c r="T81" s="118">
        <f t="shared" si="37"/>
        <v>31.475104882463295</v>
      </c>
      <c r="U81" s="119">
        <f t="shared" si="38"/>
        <v>0</v>
      </c>
      <c r="V81" s="119">
        <f>SUMIF($F$2:F81,F81,$U$2:U81)</f>
        <v>0</v>
      </c>
      <c r="W81" s="120">
        <f t="shared" si="39"/>
        <v>0.1635056793422148</v>
      </c>
      <c r="X81" s="120" t="str">
        <f t="shared" si="31"/>
        <v/>
      </c>
      <c r="Y81" s="120" t="str">
        <f t="shared" si="32"/>
        <v/>
      </c>
      <c r="Z81" s="118" t="str">
        <f>IFERROR(AVERAGEIF('Daily KPI'!$D:$D,Table14[[#This Row],[Month]],'Daily KPI'!$AB:$AB),"")</f>
        <v/>
      </c>
      <c r="AA81" s="121">
        <f>IFERROR(AVERAGEIF($F$2:F81,F81,$N$2:N81),"")</f>
        <v>8.0208999999999993</v>
      </c>
      <c r="AB81" s="119"/>
      <c r="AC81" s="118"/>
      <c r="AD81" s="118"/>
      <c r="AE81" s="120">
        <v>0.98040000000000005</v>
      </c>
      <c r="AF81" s="120">
        <v>0.98</v>
      </c>
      <c r="AG81" s="120"/>
      <c r="AH81" s="120"/>
      <c r="AI81" s="120"/>
      <c r="AJ81" s="120"/>
      <c r="AK81" s="120"/>
      <c r="AL81" s="120"/>
      <c r="AM81" s="133"/>
      <c r="AN81" s="133"/>
      <c r="AO81" s="112">
        <v>8</v>
      </c>
    </row>
    <row r="82" spans="1:41" x14ac:dyDescent="0.3">
      <c r="A82" s="112">
        <f t="shared" si="33"/>
        <v>81</v>
      </c>
      <c r="B82" s="113" t="str">
        <f t="shared" si="40"/>
        <v>December</v>
      </c>
      <c r="C82" s="113">
        <f t="shared" si="40"/>
        <v>12</v>
      </c>
      <c r="D82" s="114">
        <v>45627</v>
      </c>
      <c r="E82" s="115">
        <f t="shared" si="43"/>
        <v>2024</v>
      </c>
      <c r="F82" s="115" t="s">
        <v>1169</v>
      </c>
      <c r="G82" s="116">
        <f t="shared" si="44"/>
        <v>31</v>
      </c>
      <c r="H82" s="121">
        <f t="shared" si="41"/>
        <v>134.69999999999999</v>
      </c>
      <c r="I82" s="121">
        <f t="shared" si="41"/>
        <v>163.69999999999999</v>
      </c>
      <c r="J82" s="118"/>
      <c r="K82" s="117"/>
      <c r="L82" s="116"/>
      <c r="M82" s="125">
        <f t="shared" si="42"/>
        <v>981.38669717792857</v>
      </c>
      <c r="N82" s="119">
        <v>8.0208999999999993</v>
      </c>
      <c r="O82" s="120">
        <f t="shared" si="34"/>
        <v>0.74742631726929265</v>
      </c>
      <c r="P82" s="118">
        <f t="shared" si="35"/>
        <v>5.2806451612903222</v>
      </c>
      <c r="Q82" s="116">
        <f>COUNTIFS('Daily KPI'!$D:$D,D82,'Daily KPI'!$O:$O,"&gt;0")</f>
        <v>0</v>
      </c>
      <c r="R82" s="119">
        <f t="shared" si="36"/>
        <v>0</v>
      </c>
      <c r="S82" s="119">
        <f>SUMIF($F$2:F82,F82,$R$2:R82)</f>
        <v>0</v>
      </c>
      <c r="T82" s="118">
        <f t="shared" si="37"/>
        <v>31.657635392836404</v>
      </c>
      <c r="U82" s="119">
        <f t="shared" si="38"/>
        <v>0</v>
      </c>
      <c r="V82" s="119">
        <f>SUMIF($F$2:F82,F82,$U$2:U82)</f>
        <v>0</v>
      </c>
      <c r="W82" s="120">
        <f t="shared" si="39"/>
        <v>0.16445388190454732</v>
      </c>
      <c r="X82" s="120" t="str">
        <f t="shared" si="31"/>
        <v/>
      </c>
      <c r="Y82" s="120" t="str">
        <f t="shared" si="32"/>
        <v/>
      </c>
      <c r="Z82" s="118" t="str">
        <f>IFERROR(AVERAGEIF('Daily KPI'!$D:$D,Table14[[#This Row],[Month]],'Daily KPI'!$AB:$AB),"")</f>
        <v/>
      </c>
      <c r="AA82" s="121">
        <f>IFERROR(AVERAGEIF($F$2:F82,F82,$N$2:N82),"")</f>
        <v>8.0208999999999993</v>
      </c>
      <c r="AB82" s="119"/>
      <c r="AC82" s="118"/>
      <c r="AD82" s="118"/>
      <c r="AE82" s="120">
        <v>0.98040000000000005</v>
      </c>
      <c r="AF82" s="120">
        <v>0.98</v>
      </c>
      <c r="AG82" s="120"/>
      <c r="AH82" s="120"/>
      <c r="AI82" s="120"/>
      <c r="AJ82" s="120"/>
      <c r="AK82" s="120"/>
      <c r="AL82" s="120"/>
      <c r="AM82" s="133"/>
      <c r="AN82" s="133"/>
      <c r="AO82" s="112">
        <v>8</v>
      </c>
    </row>
    <row r="83" spans="1:41" x14ac:dyDescent="0.3">
      <c r="A83" s="112">
        <f t="shared" si="33"/>
        <v>82</v>
      </c>
      <c r="B83" s="113" t="str">
        <f t="shared" si="40"/>
        <v>January</v>
      </c>
      <c r="C83" s="113">
        <f t="shared" si="40"/>
        <v>1</v>
      </c>
      <c r="D83" s="114">
        <v>45658</v>
      </c>
      <c r="E83" s="115">
        <f t="shared" si="43"/>
        <v>2025</v>
      </c>
      <c r="F83" s="115" t="s">
        <v>1169</v>
      </c>
      <c r="G83" s="116">
        <f t="shared" si="44"/>
        <v>31</v>
      </c>
      <c r="H83" s="121">
        <f t="shared" si="41"/>
        <v>151.6</v>
      </c>
      <c r="I83" s="121">
        <f t="shared" si="41"/>
        <v>183.9</v>
      </c>
      <c r="J83" s="118"/>
      <c r="K83" s="117"/>
      <c r="L83" s="116"/>
      <c r="M83" s="125">
        <f t="shared" si="42"/>
        <v>1087.4825563322993</v>
      </c>
      <c r="N83" s="119">
        <v>8.0208999999999993</v>
      </c>
      <c r="O83" s="120">
        <f t="shared" si="34"/>
        <v>0.73725456161784642</v>
      </c>
      <c r="P83" s="118">
        <f t="shared" si="35"/>
        <v>5.9322580645161294</v>
      </c>
      <c r="Q83" s="116">
        <f>COUNTIFS('Daily KPI'!$D:$D,D83,'Daily KPI'!$O:$O,"&gt;0")</f>
        <v>0</v>
      </c>
      <c r="R83" s="119">
        <f t="shared" si="36"/>
        <v>0</v>
      </c>
      <c r="S83" s="119">
        <f>SUMIF($F$2:F83,F83,$R$2:R83)</f>
        <v>0</v>
      </c>
      <c r="T83" s="118">
        <f t="shared" si="37"/>
        <v>35.080082462332236</v>
      </c>
      <c r="U83" s="119">
        <f t="shared" si="38"/>
        <v>0</v>
      </c>
      <c r="V83" s="119">
        <f>SUMIF($F$2:F83,F83,$U$2:U83)</f>
        <v>0</v>
      </c>
      <c r="W83" s="120">
        <f t="shared" si="39"/>
        <v>0.18223267994828218</v>
      </c>
      <c r="X83" s="120" t="str">
        <f t="shared" si="31"/>
        <v/>
      </c>
      <c r="Y83" s="120" t="str">
        <f t="shared" si="32"/>
        <v/>
      </c>
      <c r="Z83" s="118" t="str">
        <f>IFERROR(AVERAGEIF('Daily KPI'!$D:$D,Table14[[#This Row],[Month]],'Daily KPI'!$AB:$AB),"")</f>
        <v/>
      </c>
      <c r="AA83" s="121">
        <f>IFERROR(AVERAGEIF($F$2:F83,F83,$N$2:N83),"")</f>
        <v>8.0208999999999993</v>
      </c>
      <c r="AB83" s="119"/>
      <c r="AC83" s="118"/>
      <c r="AD83" s="118"/>
      <c r="AE83" s="120">
        <v>0.98040000000000005</v>
      </c>
      <c r="AF83" s="120">
        <v>0.98</v>
      </c>
      <c r="AG83" s="120"/>
      <c r="AH83" s="120"/>
      <c r="AI83" s="120"/>
      <c r="AJ83" s="120"/>
      <c r="AK83" s="120"/>
      <c r="AL83" s="120"/>
      <c r="AM83" s="133"/>
      <c r="AN83" s="133"/>
      <c r="AO83" s="112">
        <v>8</v>
      </c>
    </row>
    <row r="84" spans="1:41" x14ac:dyDescent="0.3">
      <c r="A84" s="112">
        <f t="shared" si="33"/>
        <v>83</v>
      </c>
      <c r="B84" s="113" t="str">
        <f t="shared" si="40"/>
        <v>February</v>
      </c>
      <c r="C84" s="113">
        <f t="shared" si="40"/>
        <v>2</v>
      </c>
      <c r="D84" s="114">
        <v>45689</v>
      </c>
      <c r="E84" s="115">
        <f t="shared" si="43"/>
        <v>2025</v>
      </c>
      <c r="F84" s="115" t="s">
        <v>1169</v>
      </c>
      <c r="G84" s="116">
        <f t="shared" si="44"/>
        <v>28</v>
      </c>
      <c r="H84" s="121">
        <f t="shared" si="41"/>
        <v>159.9</v>
      </c>
      <c r="I84" s="121">
        <f t="shared" si="41"/>
        <v>184</v>
      </c>
      <c r="J84" s="118"/>
      <c r="K84" s="117"/>
      <c r="L84" s="116"/>
      <c r="M84" s="125">
        <f t="shared" si="42"/>
        <v>1038.6058690088</v>
      </c>
      <c r="N84" s="119">
        <v>8.0208999999999993</v>
      </c>
      <c r="O84" s="120">
        <f t="shared" si="34"/>
        <v>0.70373612863622048</v>
      </c>
      <c r="P84" s="118">
        <f t="shared" si="35"/>
        <v>6.5714285714285712</v>
      </c>
      <c r="Q84" s="116">
        <f>COUNTIFS('Daily KPI'!$D:$D,D84,'Daily KPI'!$O:$O,"&gt;0")</f>
        <v>0</v>
      </c>
      <c r="R84" s="119">
        <f t="shared" si="36"/>
        <v>0</v>
      </c>
      <c r="S84" s="119">
        <f>SUMIF($F$2:F84,F84,$R$2:R84)</f>
        <v>0</v>
      </c>
      <c r="T84" s="118">
        <f t="shared" si="37"/>
        <v>37.093066750314286</v>
      </c>
      <c r="U84" s="119">
        <f t="shared" si="38"/>
        <v>0</v>
      </c>
      <c r="V84" s="119">
        <f>SUMIF($F$2:F84,F84,$U$2:U84)</f>
        <v>0</v>
      </c>
      <c r="W84" s="120">
        <f t="shared" si="39"/>
        <v>0.19268965426944132</v>
      </c>
      <c r="X84" s="120" t="str">
        <f t="shared" si="31"/>
        <v/>
      </c>
      <c r="Y84" s="120" t="str">
        <f t="shared" si="32"/>
        <v/>
      </c>
      <c r="Z84" s="118" t="str">
        <f>IFERROR(AVERAGEIF('Daily KPI'!$D:$D,Table14[[#This Row],[Month]],'Daily KPI'!$AB:$AB),"")</f>
        <v/>
      </c>
      <c r="AA84" s="121">
        <f>IFERROR(AVERAGEIF($F$2:F84,F84,$N$2:N84),"")</f>
        <v>8.0208999999999993</v>
      </c>
      <c r="AB84" s="119"/>
      <c r="AC84" s="118"/>
      <c r="AD84" s="118"/>
      <c r="AE84" s="120">
        <v>0.98040000000000005</v>
      </c>
      <c r="AF84" s="120">
        <v>0.98</v>
      </c>
      <c r="AG84" s="120"/>
      <c r="AH84" s="120"/>
      <c r="AI84" s="120"/>
      <c r="AJ84" s="120"/>
      <c r="AK84" s="120"/>
      <c r="AL84" s="120"/>
      <c r="AM84" s="133"/>
      <c r="AN84" s="133"/>
      <c r="AO84" s="112">
        <v>8</v>
      </c>
    </row>
    <row r="85" spans="1:41" x14ac:dyDescent="0.3">
      <c r="A85" s="112">
        <f t="shared" si="33"/>
        <v>84</v>
      </c>
      <c r="B85" s="113" t="str">
        <f t="shared" si="40"/>
        <v>March</v>
      </c>
      <c r="C85" s="113">
        <f t="shared" si="40"/>
        <v>3</v>
      </c>
      <c r="D85" s="114">
        <v>45717</v>
      </c>
      <c r="E85" s="115">
        <f t="shared" si="43"/>
        <v>2025</v>
      </c>
      <c r="F85" s="115" t="s">
        <v>1169</v>
      </c>
      <c r="G85" s="116">
        <f t="shared" si="44"/>
        <v>31</v>
      </c>
      <c r="H85" s="121">
        <f t="shared" si="41"/>
        <v>197.2</v>
      </c>
      <c r="I85" s="121">
        <f t="shared" si="41"/>
        <v>210.4</v>
      </c>
      <c r="J85" s="118"/>
      <c r="K85" s="117"/>
      <c r="L85" s="116"/>
      <c r="M85" s="125">
        <f t="shared" si="42"/>
        <v>1204.1880014021069</v>
      </c>
      <c r="N85" s="119">
        <v>8.0208999999999993</v>
      </c>
      <c r="O85" s="120">
        <f t="shared" si="34"/>
        <v>0.71355172148533519</v>
      </c>
      <c r="P85" s="118">
        <f t="shared" si="35"/>
        <v>6.7870967741935484</v>
      </c>
      <c r="Q85" s="116">
        <f>COUNTIFS('Daily KPI'!$D:$D,D85,'Daily KPI'!$O:$O,"&gt;0")</f>
        <v>0</v>
      </c>
      <c r="R85" s="119">
        <f t="shared" si="36"/>
        <v>0</v>
      </c>
      <c r="S85" s="119">
        <f>SUMIF($F$2:F85,F85,$R$2:R85)</f>
        <v>0</v>
      </c>
      <c r="T85" s="118">
        <f t="shared" si="37"/>
        <v>38.844774238777646</v>
      </c>
      <c r="U85" s="119">
        <f t="shared" si="38"/>
        <v>0</v>
      </c>
      <c r="V85" s="119">
        <f>SUMIF($F$2:F85,F85,$U$2:U85)</f>
        <v>0</v>
      </c>
      <c r="W85" s="120">
        <f t="shared" si="39"/>
        <v>0.20178935779639051</v>
      </c>
      <c r="X85" s="120" t="str">
        <f t="shared" si="31"/>
        <v/>
      </c>
      <c r="Y85" s="120" t="str">
        <f t="shared" si="32"/>
        <v/>
      </c>
      <c r="Z85" s="118">
        <f>IFERROR(AVERAGEIF('Daily KPI'!$D:$D,Table14[[#This Row],[Month]],'Daily KPI'!$AB:$AB),"")</f>
        <v>8.0208999999999993</v>
      </c>
      <c r="AA85" s="121">
        <f>IFERROR(AVERAGEIF($F$2:F85,F85,$N$2:N85),"")</f>
        <v>8.0208999999999993</v>
      </c>
      <c r="AB85" s="119"/>
      <c r="AC85" s="118"/>
      <c r="AD85" s="118"/>
      <c r="AE85" s="120">
        <v>0.98040000000000005</v>
      </c>
      <c r="AF85" s="120">
        <v>0.98</v>
      </c>
      <c r="AG85" s="120"/>
      <c r="AH85" s="120"/>
      <c r="AI85" s="120"/>
      <c r="AJ85" s="120"/>
      <c r="AK85" s="120"/>
      <c r="AL85" s="120"/>
      <c r="AM85" s="133"/>
      <c r="AN85" s="133"/>
      <c r="AO85" s="112">
        <v>8</v>
      </c>
    </row>
    <row r="86" spans="1:41" x14ac:dyDescent="0.3">
      <c r="A86" s="112">
        <f t="shared" si="33"/>
        <v>85</v>
      </c>
      <c r="B86" s="113" t="str">
        <f t="shared" si="40"/>
        <v>April</v>
      </c>
      <c r="C86" s="113">
        <f t="shared" si="40"/>
        <v>4</v>
      </c>
      <c r="D86" s="114">
        <v>45748</v>
      </c>
      <c r="E86" s="115">
        <f t="shared" si="43"/>
        <v>2025</v>
      </c>
      <c r="F86" s="115" t="s">
        <v>1170</v>
      </c>
      <c r="G86" s="116">
        <f t="shared" si="44"/>
        <v>30</v>
      </c>
      <c r="H86" s="121">
        <f t="shared" si="41"/>
        <v>193.6</v>
      </c>
      <c r="I86" s="121">
        <f t="shared" si="41"/>
        <v>191.7</v>
      </c>
      <c r="J86" s="118"/>
      <c r="K86" s="117"/>
      <c r="L86" s="116"/>
      <c r="M86" s="119">
        <v>1038.306851835873</v>
      </c>
      <c r="N86" s="119">
        <v>8.0208999999999993</v>
      </c>
      <c r="O86" s="120">
        <f t="shared" si="34"/>
        <v>0.67527474134483101</v>
      </c>
      <c r="P86" s="118">
        <f t="shared" si="35"/>
        <v>6.39</v>
      </c>
      <c r="Q86" s="116">
        <f>COUNTIFS('Daily KPI'!$D:$D,D86,'Daily KPI'!$O:$O,"&gt;0")</f>
        <v>30</v>
      </c>
      <c r="R86" s="119">
        <f t="shared" si="36"/>
        <v>191.7</v>
      </c>
      <c r="S86" s="119">
        <f>SUMIF($F$2:F86,F86,$R$2:R86)</f>
        <v>191.7</v>
      </c>
      <c r="T86" s="118">
        <f t="shared" si="37"/>
        <v>34.610228394529102</v>
      </c>
      <c r="U86" s="119">
        <f t="shared" si="38"/>
        <v>1038.306851835873</v>
      </c>
      <c r="V86" s="119">
        <f>SUMIF($F$2:F86,F86,$U$2:U86)</f>
        <v>1038.306851835873</v>
      </c>
      <c r="W86" s="120">
        <f t="shared" si="39"/>
        <v>0.17979189988306124</v>
      </c>
      <c r="X86" s="120">
        <f t="shared" si="31"/>
        <v>0.17979189988306124</v>
      </c>
      <c r="Y86" s="120">
        <f t="shared" si="32"/>
        <v>0.17979189988306124</v>
      </c>
      <c r="Z86" s="118">
        <f>IFERROR(AVERAGEIF('Daily KPI'!$D:$D,Table14[[#This Row],[Month]],'Daily KPI'!$AB:$AB),"")</f>
        <v>8.0209000000000046</v>
      </c>
      <c r="AA86" s="121">
        <f>IFERROR(AVERAGEIF($F$2:F86,F86,$N$2:N86),"")</f>
        <v>8.0208999999999993</v>
      </c>
      <c r="AB86" s="119"/>
      <c r="AC86" s="118"/>
      <c r="AD86" s="118"/>
      <c r="AE86" s="120">
        <v>0.98040000000000005</v>
      </c>
      <c r="AF86" s="120">
        <v>0.98</v>
      </c>
      <c r="AG86" s="120"/>
      <c r="AH86" s="120"/>
      <c r="AI86" s="120"/>
      <c r="AJ86" s="120"/>
      <c r="AK86" s="120"/>
      <c r="AL86" s="120"/>
      <c r="AM86" s="133"/>
      <c r="AN86" s="133"/>
      <c r="AO86" s="112">
        <v>8</v>
      </c>
    </row>
    <row r="87" spans="1:41" x14ac:dyDescent="0.3">
      <c r="A87" s="112">
        <f t="shared" si="33"/>
        <v>86</v>
      </c>
      <c r="B87" s="113" t="str">
        <f t="shared" si="40"/>
        <v>May</v>
      </c>
      <c r="C87" s="113">
        <f t="shared" si="40"/>
        <v>5</v>
      </c>
      <c r="D87" s="114">
        <v>45778</v>
      </c>
      <c r="E87" s="115">
        <f t="shared" si="43"/>
        <v>2025</v>
      </c>
      <c r="F87" s="115" t="s">
        <v>1170</v>
      </c>
      <c r="G87" s="116">
        <f t="shared" si="44"/>
        <v>31</v>
      </c>
      <c r="H87" s="121">
        <f t="shared" si="41"/>
        <v>198.6</v>
      </c>
      <c r="I87" s="121">
        <f t="shared" si="41"/>
        <v>186.4</v>
      </c>
      <c r="J87" s="118"/>
      <c r="K87" s="117"/>
      <c r="L87" s="116"/>
      <c r="M87" s="119">
        <v>1040.9100812301763</v>
      </c>
      <c r="N87" s="119">
        <v>8.0208999999999993</v>
      </c>
      <c r="O87" s="120">
        <f t="shared" si="34"/>
        <v>0.69621632879901718</v>
      </c>
      <c r="P87" s="118">
        <f t="shared" si="35"/>
        <v>6.0129032258064514</v>
      </c>
      <c r="Q87" s="116">
        <f>COUNTIFS('Daily KPI'!$D:$D,D87,'Daily KPI'!$O:$O,"&gt;0")</f>
        <v>31</v>
      </c>
      <c r="R87" s="119">
        <f t="shared" si="36"/>
        <v>186.4</v>
      </c>
      <c r="S87" s="119">
        <f>SUMIF($F$2:F87,F87,$R$2:R87)</f>
        <v>378.1</v>
      </c>
      <c r="T87" s="118">
        <f t="shared" si="37"/>
        <v>33.577744555812139</v>
      </c>
      <c r="U87" s="119">
        <f t="shared" si="38"/>
        <v>1040.9100812301763</v>
      </c>
      <c r="V87" s="119">
        <f>SUMIF($F$2:F87,F87,$U$2:U87)</f>
        <v>2079.216933066049</v>
      </c>
      <c r="W87" s="120">
        <f t="shared" si="39"/>
        <v>0.17442839205394728</v>
      </c>
      <c r="X87" s="120">
        <f t="shared" si="31"/>
        <v>0.17442839205394728</v>
      </c>
      <c r="Y87" s="120">
        <f t="shared" si="32"/>
        <v>0.17706618278957709</v>
      </c>
      <c r="Z87" s="118">
        <f>IFERROR(AVERAGEIF('Daily KPI'!$D:$D,Table14[[#This Row],[Month]],'Daily KPI'!$AB:$AB),"")</f>
        <v>8.0209000000000046</v>
      </c>
      <c r="AA87" s="121">
        <f>IFERROR(AVERAGEIF($F$2:F87,F87,$N$2:N87),"")</f>
        <v>8.0208999999999993</v>
      </c>
      <c r="AB87" s="119"/>
      <c r="AC87" s="118"/>
      <c r="AD87" s="118"/>
      <c r="AE87" s="120">
        <v>0.98040000000000005</v>
      </c>
      <c r="AF87" s="120">
        <v>0.98</v>
      </c>
      <c r="AG87" s="120"/>
      <c r="AH87" s="120"/>
      <c r="AI87" s="120"/>
      <c r="AJ87" s="120"/>
      <c r="AK87" s="120"/>
      <c r="AL87" s="120"/>
      <c r="AM87" s="133"/>
      <c r="AN87" s="133"/>
      <c r="AO87" s="112">
        <v>8</v>
      </c>
    </row>
    <row r="88" spans="1:41" x14ac:dyDescent="0.3">
      <c r="A88" s="112">
        <f t="shared" si="33"/>
        <v>87</v>
      </c>
      <c r="B88" s="113" t="str">
        <f t="shared" si="40"/>
        <v>June</v>
      </c>
      <c r="C88" s="113">
        <f t="shared" si="40"/>
        <v>6</v>
      </c>
      <c r="D88" s="114">
        <v>45809</v>
      </c>
      <c r="E88" s="115">
        <f t="shared" si="43"/>
        <v>2025</v>
      </c>
      <c r="F88" s="115" t="s">
        <v>1170</v>
      </c>
      <c r="G88" s="116">
        <f t="shared" si="44"/>
        <v>30</v>
      </c>
      <c r="H88" s="121">
        <f t="shared" si="41"/>
        <v>154.80000000000001</v>
      </c>
      <c r="I88" s="121">
        <f t="shared" si="41"/>
        <v>142.80000000000001</v>
      </c>
      <c r="J88" s="118"/>
      <c r="K88" s="117"/>
      <c r="L88" s="116"/>
      <c r="M88" s="119">
        <v>777.5924493389839</v>
      </c>
      <c r="N88" s="119">
        <v>8.0208999999999993</v>
      </c>
      <c r="O88" s="120">
        <f t="shared" si="34"/>
        <v>0.67889205394445518</v>
      </c>
      <c r="P88" s="118">
        <f t="shared" si="35"/>
        <v>4.7600000000000007</v>
      </c>
      <c r="Q88" s="116">
        <f>COUNTIFS('Daily KPI'!$D:$D,D88,'Daily KPI'!$O:$O,"&gt;0")</f>
        <v>30</v>
      </c>
      <c r="R88" s="119">
        <f t="shared" si="36"/>
        <v>142.80000000000001</v>
      </c>
      <c r="S88" s="119">
        <f>SUMIF($F$2:F88,F88,$R$2:R88)</f>
        <v>520.90000000000009</v>
      </c>
      <c r="T88" s="118">
        <f t="shared" si="37"/>
        <v>25.919748311299465</v>
      </c>
      <c r="U88" s="119">
        <f t="shared" si="38"/>
        <v>777.5924493389839</v>
      </c>
      <c r="V88" s="119">
        <f>SUMIF($F$2:F88,F88,$U$2:U88)</f>
        <v>2856.8093824050329</v>
      </c>
      <c r="W88" s="120">
        <f t="shared" si="39"/>
        <v>0.13464692403231696</v>
      </c>
      <c r="X88" s="120">
        <f t="shared" si="31"/>
        <v>0.13464692403231696</v>
      </c>
      <c r="Y88" s="120">
        <f t="shared" si="32"/>
        <v>0.16308181177070011</v>
      </c>
      <c r="Z88" s="118">
        <f>IFERROR(AVERAGEIF('Daily KPI'!$D:$D,Table14[[#This Row],[Month]],'Daily KPI'!$AB:$AB),"")</f>
        <v>8.0209000000000046</v>
      </c>
      <c r="AA88" s="121">
        <f>IFERROR(AVERAGEIF($F$2:F88,F88,$N$2:N88),"")</f>
        <v>8.0208999999999993</v>
      </c>
      <c r="AB88" s="119"/>
      <c r="AC88" s="118"/>
      <c r="AD88" s="118"/>
      <c r="AE88" s="120">
        <v>0.98040000000000005</v>
      </c>
      <c r="AF88" s="120">
        <v>0.98</v>
      </c>
      <c r="AG88" s="120"/>
      <c r="AH88" s="120"/>
      <c r="AI88" s="120"/>
      <c r="AJ88" s="120"/>
      <c r="AK88" s="120"/>
      <c r="AL88" s="120"/>
      <c r="AM88" s="133"/>
      <c r="AN88" s="133"/>
      <c r="AO88" s="112">
        <v>8</v>
      </c>
    </row>
    <row r="89" spans="1:41" x14ac:dyDescent="0.3">
      <c r="A89" s="112">
        <f t="shared" si="33"/>
        <v>88</v>
      </c>
      <c r="B89" s="113" t="str">
        <f t="shared" si="40"/>
        <v>July</v>
      </c>
      <c r="C89" s="113">
        <f t="shared" si="40"/>
        <v>7</v>
      </c>
      <c r="D89" s="114">
        <v>45839</v>
      </c>
      <c r="E89" s="115">
        <f t="shared" si="43"/>
        <v>2025</v>
      </c>
      <c r="F89" s="115" t="s">
        <v>1170</v>
      </c>
      <c r="G89" s="116">
        <f t="shared" si="44"/>
        <v>31</v>
      </c>
      <c r="H89" s="121">
        <f t="shared" si="41"/>
        <v>134.4</v>
      </c>
      <c r="I89" s="121">
        <f t="shared" si="41"/>
        <v>125.4</v>
      </c>
      <c r="J89" s="118"/>
      <c r="K89" s="117"/>
      <c r="L89" s="116"/>
      <c r="M89" s="119">
        <v>710.8284232941719</v>
      </c>
      <c r="N89" s="119">
        <v>8.0208999999999993</v>
      </c>
      <c r="O89" s="120">
        <f t="shared" si="34"/>
        <v>0.70671473575739119</v>
      </c>
      <c r="P89" s="118">
        <f t="shared" si="35"/>
        <v>4.0451612903225804</v>
      </c>
      <c r="Q89" s="116">
        <f>COUNTIFS('Daily KPI'!$D:$D,D89,'Daily KPI'!$O:$O,"&gt;0")</f>
        <v>31</v>
      </c>
      <c r="R89" s="119">
        <f t="shared" si="36"/>
        <v>125.39999999999999</v>
      </c>
      <c r="S89" s="119">
        <f>SUMIF($F$2:F89,F89,$R$2:R89)</f>
        <v>646.30000000000007</v>
      </c>
      <c r="T89" s="118">
        <f t="shared" si="37"/>
        <v>22.929949138521675</v>
      </c>
      <c r="U89" s="119">
        <f t="shared" si="38"/>
        <v>710.8284232941719</v>
      </c>
      <c r="V89" s="119">
        <f>SUMIF($F$2:F89,F89,$U$2:U89)</f>
        <v>3567.6378056992048</v>
      </c>
      <c r="W89" s="120">
        <f t="shared" si="39"/>
        <v>0.11911562884943125</v>
      </c>
      <c r="X89" s="120">
        <f t="shared" si="31"/>
        <v>0.11911562884943123</v>
      </c>
      <c r="Y89" s="120">
        <f t="shared" si="32"/>
        <v>0.1519100767661154</v>
      </c>
      <c r="Z89" s="118">
        <f>IFERROR(AVERAGEIF('Daily KPI'!$D:$D,Table14[[#This Row],[Month]],'Daily KPI'!$AB:$AB),"")</f>
        <v>8.0209000000000046</v>
      </c>
      <c r="AA89" s="121">
        <f>IFERROR(AVERAGEIF($F$2:F89,F89,$N$2:N89),"")</f>
        <v>8.0208999999999993</v>
      </c>
      <c r="AB89" s="119"/>
      <c r="AC89" s="118"/>
      <c r="AD89" s="118"/>
      <c r="AE89" s="120">
        <v>0.98040000000000005</v>
      </c>
      <c r="AF89" s="120">
        <v>0.98</v>
      </c>
      <c r="AG89" s="120"/>
      <c r="AH89" s="120"/>
      <c r="AI89" s="120"/>
      <c r="AJ89" s="120"/>
      <c r="AK89" s="120"/>
      <c r="AL89" s="120"/>
      <c r="AM89" s="133"/>
      <c r="AN89" s="133"/>
      <c r="AO89" s="112">
        <v>8</v>
      </c>
    </row>
    <row r="90" spans="1:41" x14ac:dyDescent="0.3">
      <c r="A90" s="112">
        <f t="shared" si="33"/>
        <v>89</v>
      </c>
      <c r="B90" s="113" t="str">
        <f t="shared" si="40"/>
        <v>August</v>
      </c>
      <c r="C90" s="113">
        <f t="shared" si="40"/>
        <v>8</v>
      </c>
      <c r="D90" s="114">
        <v>45870</v>
      </c>
      <c r="E90" s="115">
        <f t="shared" si="43"/>
        <v>2025</v>
      </c>
      <c r="F90" s="115" t="s">
        <v>1170</v>
      </c>
      <c r="G90" s="116">
        <f t="shared" si="44"/>
        <v>31</v>
      </c>
      <c r="H90" s="121">
        <f t="shared" si="41"/>
        <v>134.6</v>
      </c>
      <c r="I90" s="121">
        <f t="shared" si="41"/>
        <v>130.69999999999999</v>
      </c>
      <c r="J90" s="118"/>
      <c r="K90" s="117"/>
      <c r="L90" s="116"/>
      <c r="M90" s="119">
        <v>752.46786038214657</v>
      </c>
      <c r="N90" s="119">
        <v>8.0208999999999993</v>
      </c>
      <c r="O90" s="120">
        <f t="shared" si="34"/>
        <v>0.71777654975663252</v>
      </c>
      <c r="P90" s="118">
        <f t="shared" si="35"/>
        <v>4.2161290322580642</v>
      </c>
      <c r="Q90" s="116">
        <f>COUNTIFS('Daily KPI'!$D:$D,D90,'Daily KPI'!$O:$O,"&gt;0")</f>
        <v>3</v>
      </c>
      <c r="R90" s="119">
        <f t="shared" si="36"/>
        <v>12.648387096774194</v>
      </c>
      <c r="S90" s="119">
        <f>SUMIF($F$2:F90,F90,$R$2:R90)</f>
        <v>658.94838709677424</v>
      </c>
      <c r="T90" s="118">
        <f t="shared" si="37"/>
        <v>24.273156786520858</v>
      </c>
      <c r="U90" s="119">
        <f t="shared" si="38"/>
        <v>72.819470359562573</v>
      </c>
      <c r="V90" s="119">
        <f>SUMIF($F$2:F90,F90,$U$2:U90)</f>
        <v>3640.4572760587675</v>
      </c>
      <c r="W90" s="120">
        <f t="shared" si="39"/>
        <v>0.12609327292095679</v>
      </c>
      <c r="X90" s="120">
        <f t="shared" si="31"/>
        <v>0.12609327292095682</v>
      </c>
      <c r="Y90" s="120">
        <f t="shared" si="32"/>
        <v>0.15129047347383159</v>
      </c>
      <c r="Z90" s="118">
        <f>IFERROR(AVERAGEIF('Daily KPI'!$D:$D,Table14[[#This Row],[Month]],'Daily KPI'!$AB:$AB),"")</f>
        <v>8.0209000000000046</v>
      </c>
      <c r="AA90" s="121">
        <f>IFERROR(AVERAGEIF($F$2:F90,F90,$N$2:N90),"")</f>
        <v>8.0208999999999993</v>
      </c>
      <c r="AB90" s="119"/>
      <c r="AC90" s="118"/>
      <c r="AD90" s="118"/>
      <c r="AE90" s="120">
        <v>0.98040000000000005</v>
      </c>
      <c r="AF90" s="120">
        <v>0.98</v>
      </c>
      <c r="AG90" s="120"/>
      <c r="AH90" s="120"/>
      <c r="AI90" s="120"/>
      <c r="AJ90" s="120"/>
      <c r="AK90" s="120"/>
      <c r="AL90" s="120"/>
      <c r="AM90" s="133"/>
      <c r="AN90" s="133"/>
      <c r="AO90" s="112">
        <v>8</v>
      </c>
    </row>
    <row r="91" spans="1:41" x14ac:dyDescent="0.3">
      <c r="A91" s="112">
        <f t="shared" si="33"/>
        <v>90</v>
      </c>
      <c r="B91" s="113" t="str">
        <f t="shared" si="40"/>
        <v>September</v>
      </c>
      <c r="C91" s="113">
        <f t="shared" si="40"/>
        <v>9</v>
      </c>
      <c r="D91" s="114">
        <v>45901</v>
      </c>
      <c r="E91" s="115">
        <f t="shared" si="43"/>
        <v>2025</v>
      </c>
      <c r="F91" s="115" t="s">
        <v>1170</v>
      </c>
      <c r="G91" s="116">
        <f t="shared" si="44"/>
        <v>30</v>
      </c>
      <c r="H91" s="121">
        <f t="shared" si="41"/>
        <v>142.5</v>
      </c>
      <c r="I91" s="121">
        <f t="shared" si="41"/>
        <v>145.4</v>
      </c>
      <c r="J91" s="118"/>
      <c r="K91" s="117"/>
      <c r="L91" s="116"/>
      <c r="M91" s="119">
        <v>812.97092400213171</v>
      </c>
      <c r="N91" s="119">
        <v>8.0208999999999993</v>
      </c>
      <c r="O91" s="120">
        <f t="shared" si="34"/>
        <v>0.69708783670793795</v>
      </c>
      <c r="P91" s="118">
        <f t="shared" si="35"/>
        <v>4.8466666666666667</v>
      </c>
      <c r="Q91" s="116">
        <f>COUNTIFS('Daily KPI'!$D:$D,D91,'Daily KPI'!$O:$O,"&gt;0")</f>
        <v>0</v>
      </c>
      <c r="R91" s="119">
        <f t="shared" si="36"/>
        <v>0</v>
      </c>
      <c r="S91" s="119">
        <f>SUMIF($F$2:F91,F91,$R$2:R91)</f>
        <v>658.94838709677424</v>
      </c>
      <c r="T91" s="118">
        <f t="shared" si="37"/>
        <v>27.099030800071056</v>
      </c>
      <c r="U91" s="119">
        <f t="shared" si="38"/>
        <v>0</v>
      </c>
      <c r="V91" s="119">
        <f>SUMIF($F$2:F91,F91,$U$2:U91)</f>
        <v>3640.4572760587675</v>
      </c>
      <c r="W91" s="120">
        <f t="shared" si="39"/>
        <v>0.14077301591296412</v>
      </c>
      <c r="X91" s="120" t="str">
        <f t="shared" si="31"/>
        <v/>
      </c>
      <c r="Y91" s="120">
        <f t="shared" si="32"/>
        <v>0.15129047347383159</v>
      </c>
      <c r="Z91" s="118">
        <f>IFERROR(AVERAGEIF('Daily KPI'!$D:$D,Table14[[#This Row],[Month]],'Daily KPI'!$AB:$AB),"")</f>
        <v>8.0208999999999993</v>
      </c>
      <c r="AA91" s="121">
        <f>IFERROR(AVERAGEIF($F$2:F91,F91,$N$2:N91),"")</f>
        <v>8.0208999999999993</v>
      </c>
      <c r="AB91" s="119"/>
      <c r="AC91" s="118"/>
      <c r="AD91" s="118"/>
      <c r="AE91" s="120">
        <v>0.98040000000000005</v>
      </c>
      <c r="AF91" s="120">
        <v>0.98</v>
      </c>
      <c r="AG91" s="120"/>
      <c r="AH91" s="120"/>
      <c r="AI91" s="120"/>
      <c r="AJ91" s="120"/>
      <c r="AK91" s="120"/>
      <c r="AL91" s="120"/>
      <c r="AM91" s="133"/>
      <c r="AN91" s="133"/>
      <c r="AO91" s="112">
        <v>8</v>
      </c>
    </row>
    <row r="92" spans="1:41" x14ac:dyDescent="0.3">
      <c r="A92" s="112">
        <f t="shared" si="33"/>
        <v>91</v>
      </c>
      <c r="B92" s="113" t="str">
        <f t="shared" si="40"/>
        <v>October</v>
      </c>
      <c r="C92" s="113">
        <f t="shared" si="40"/>
        <v>10</v>
      </c>
      <c r="D92" s="114">
        <v>45931</v>
      </c>
      <c r="E92" s="115">
        <f t="shared" si="43"/>
        <v>2025</v>
      </c>
      <c r="F92" s="115" t="s">
        <v>1170</v>
      </c>
      <c r="G92" s="116">
        <f t="shared" si="44"/>
        <v>31</v>
      </c>
      <c r="H92" s="121">
        <f t="shared" si="41"/>
        <v>145.69999999999999</v>
      </c>
      <c r="I92" s="121">
        <f t="shared" si="41"/>
        <v>158.80000000000001</v>
      </c>
      <c r="J92" s="118"/>
      <c r="K92" s="117"/>
      <c r="L92" s="116"/>
      <c r="M92" s="119">
        <v>923.72805882412695</v>
      </c>
      <c r="N92" s="119">
        <v>8.0208999999999993</v>
      </c>
      <c r="O92" s="120">
        <f t="shared" si="34"/>
        <v>0.72522127474099773</v>
      </c>
      <c r="P92" s="118">
        <f t="shared" si="35"/>
        <v>5.1225806451612907</v>
      </c>
      <c r="Q92" s="116">
        <f>COUNTIFS('Daily KPI'!$D:$D,D92,'Daily KPI'!$O:$O,"&gt;0")</f>
        <v>0</v>
      </c>
      <c r="R92" s="119">
        <f t="shared" si="36"/>
        <v>0</v>
      </c>
      <c r="S92" s="119">
        <f>SUMIF($F$2:F92,F92,$R$2:R92)</f>
        <v>658.94838709677424</v>
      </c>
      <c r="T92" s="118">
        <f t="shared" si="37"/>
        <v>29.79767931690732</v>
      </c>
      <c r="U92" s="119">
        <f t="shared" si="38"/>
        <v>0</v>
      </c>
      <c r="V92" s="119">
        <f>SUMIF($F$2:F92,F92,$U$2:U92)</f>
        <v>3640.4572760587675</v>
      </c>
      <c r="W92" s="120">
        <f t="shared" si="39"/>
        <v>0.1547918527269764</v>
      </c>
      <c r="X92" s="120" t="str">
        <f t="shared" si="31"/>
        <v/>
      </c>
      <c r="Y92" s="120">
        <f t="shared" si="32"/>
        <v>0.15129047347383159</v>
      </c>
      <c r="Z92" s="118" t="str">
        <f>IFERROR(AVERAGEIF('Daily KPI'!$D:$D,Table14[[#This Row],[Month]],'Daily KPI'!$AB:$AB),"")</f>
        <v/>
      </c>
      <c r="AA92" s="121">
        <f>IFERROR(AVERAGEIF($F$2:F92,F92,$N$2:N92),"")</f>
        <v>8.0208999999999993</v>
      </c>
      <c r="AB92" s="119"/>
      <c r="AC92" s="118"/>
      <c r="AD92" s="118"/>
      <c r="AE92" s="120">
        <v>0.98040000000000005</v>
      </c>
      <c r="AF92" s="120">
        <v>0.98</v>
      </c>
      <c r="AG92" s="120"/>
      <c r="AH92" s="120"/>
      <c r="AI92" s="120"/>
      <c r="AJ92" s="120"/>
      <c r="AK92" s="120"/>
      <c r="AL92" s="120"/>
      <c r="AM92" s="133"/>
      <c r="AN92" s="133"/>
      <c r="AO92" s="112">
        <v>8</v>
      </c>
    </row>
    <row r="93" spans="1:41" x14ac:dyDescent="0.3">
      <c r="A93" s="112">
        <f t="shared" si="33"/>
        <v>92</v>
      </c>
      <c r="B93" s="113" t="str">
        <f t="shared" si="40"/>
        <v>November</v>
      </c>
      <c r="C93" s="113">
        <f t="shared" si="40"/>
        <v>11</v>
      </c>
      <c r="D93" s="114">
        <v>45962</v>
      </c>
      <c r="E93" s="115">
        <f t="shared" si="43"/>
        <v>2025</v>
      </c>
      <c r="F93" s="115" t="s">
        <v>1170</v>
      </c>
      <c r="G93" s="116">
        <f t="shared" si="44"/>
        <v>30</v>
      </c>
      <c r="H93" s="121">
        <f t="shared" si="41"/>
        <v>138.9</v>
      </c>
      <c r="I93" s="121">
        <f t="shared" si="41"/>
        <v>163</v>
      </c>
      <c r="J93" s="118"/>
      <c r="K93" s="117"/>
      <c r="L93" s="116"/>
      <c r="M93" s="119">
        <v>928.06106564490403</v>
      </c>
      <c r="N93" s="119">
        <v>8.0208999999999993</v>
      </c>
      <c r="O93" s="120">
        <f t="shared" si="34"/>
        <v>0.70984879123298372</v>
      </c>
      <c r="P93" s="118">
        <f t="shared" si="35"/>
        <v>5.4333333333333336</v>
      </c>
      <c r="Q93" s="116">
        <f>COUNTIFS('Daily KPI'!$D:$D,D93,'Daily KPI'!$O:$O,"&gt;0")</f>
        <v>0</v>
      </c>
      <c r="R93" s="119">
        <f t="shared" si="36"/>
        <v>0</v>
      </c>
      <c r="S93" s="119">
        <f>SUMIF($F$2:F93,F93,$R$2:R93)</f>
        <v>658.94838709677424</v>
      </c>
      <c r="T93" s="118">
        <f t="shared" si="37"/>
        <v>30.935368854830134</v>
      </c>
      <c r="U93" s="119">
        <f t="shared" si="38"/>
        <v>0</v>
      </c>
      <c r="V93" s="119">
        <f>SUMIF($F$2:F93,F93,$U$2:U93)</f>
        <v>3640.4572760587675</v>
      </c>
      <c r="W93" s="120">
        <f t="shared" si="39"/>
        <v>0.160701879126356</v>
      </c>
      <c r="X93" s="120" t="str">
        <f t="shared" si="31"/>
        <v/>
      </c>
      <c r="Y93" s="120">
        <f t="shared" si="32"/>
        <v>0.15129047347383159</v>
      </c>
      <c r="Z93" s="118" t="str">
        <f>IFERROR(AVERAGEIF('Daily KPI'!$D:$D,Table14[[#This Row],[Month]],'Daily KPI'!$AB:$AB),"")</f>
        <v/>
      </c>
      <c r="AA93" s="121">
        <f>IFERROR(AVERAGEIF($F$2:F93,F93,$N$2:N93),"")</f>
        <v>8.0208999999999993</v>
      </c>
      <c r="AB93" s="119"/>
      <c r="AC93" s="118"/>
      <c r="AD93" s="118"/>
      <c r="AE93" s="120">
        <v>0.98040000000000005</v>
      </c>
      <c r="AF93" s="120">
        <v>0.98</v>
      </c>
      <c r="AG93" s="120"/>
      <c r="AH93" s="120"/>
      <c r="AI93" s="120"/>
      <c r="AJ93" s="120"/>
      <c r="AK93" s="120"/>
      <c r="AL93" s="120"/>
      <c r="AM93" s="133"/>
      <c r="AN93" s="133"/>
      <c r="AO93" s="112">
        <v>8</v>
      </c>
    </row>
    <row r="94" spans="1:41" x14ac:dyDescent="0.3">
      <c r="A94" s="112">
        <f t="shared" si="33"/>
        <v>93</v>
      </c>
      <c r="B94" s="113" t="str">
        <f t="shared" si="40"/>
        <v>December</v>
      </c>
      <c r="C94" s="113">
        <f t="shared" si="40"/>
        <v>12</v>
      </c>
      <c r="D94" s="114">
        <v>45992</v>
      </c>
      <c r="E94" s="115">
        <f t="shared" si="43"/>
        <v>2025</v>
      </c>
      <c r="F94" s="115" t="s">
        <v>1170</v>
      </c>
      <c r="G94" s="116">
        <f t="shared" si="44"/>
        <v>31</v>
      </c>
      <c r="H94" s="121">
        <f t="shared" si="41"/>
        <v>134.69999999999999</v>
      </c>
      <c r="I94" s="121">
        <f t="shared" si="41"/>
        <v>163.69999999999999</v>
      </c>
      <c r="J94" s="118"/>
      <c r="K94" s="117"/>
      <c r="L94" s="116"/>
      <c r="M94" s="119">
        <v>966.35349351163529</v>
      </c>
      <c r="N94" s="119">
        <v>8.0208999999999993</v>
      </c>
      <c r="O94" s="120">
        <f t="shared" si="34"/>
        <v>0.73597699552347362</v>
      </c>
      <c r="P94" s="118">
        <f t="shared" si="35"/>
        <v>5.2806451612903222</v>
      </c>
      <c r="Q94" s="116">
        <f>COUNTIFS('Daily KPI'!$D:$D,D94,'Daily KPI'!$O:$O,"&gt;0")</f>
        <v>0</v>
      </c>
      <c r="R94" s="119">
        <f t="shared" si="36"/>
        <v>0</v>
      </c>
      <c r="S94" s="119">
        <f>SUMIF($F$2:F94,F94,$R$2:R94)</f>
        <v>658.94838709677424</v>
      </c>
      <c r="T94" s="118">
        <f t="shared" si="37"/>
        <v>31.172693339085008</v>
      </c>
      <c r="U94" s="119">
        <f t="shared" si="38"/>
        <v>0</v>
      </c>
      <c r="V94" s="119">
        <f>SUMIF($F$2:F94,F94,$U$2:U94)</f>
        <v>3640.4572760587675</v>
      </c>
      <c r="W94" s="120">
        <f t="shared" si="39"/>
        <v>0.16193472334300082</v>
      </c>
      <c r="X94" s="120" t="str">
        <f t="shared" si="31"/>
        <v/>
      </c>
      <c r="Y94" s="120">
        <f t="shared" si="32"/>
        <v>0.15129047347383159</v>
      </c>
      <c r="Z94" s="118" t="str">
        <f>IFERROR(AVERAGEIF('Daily KPI'!$D:$D,Table14[[#This Row],[Month]],'Daily KPI'!$AB:$AB),"")</f>
        <v/>
      </c>
      <c r="AA94" s="121">
        <f>IFERROR(AVERAGEIF($F$2:F94,F94,$N$2:N94),"")</f>
        <v>8.0208999999999993</v>
      </c>
      <c r="AB94" s="119"/>
      <c r="AC94" s="118"/>
      <c r="AD94" s="118"/>
      <c r="AE94" s="120">
        <v>0.98040000000000005</v>
      </c>
      <c r="AF94" s="120">
        <v>0.98</v>
      </c>
      <c r="AG94" s="120"/>
      <c r="AH94" s="120"/>
      <c r="AI94" s="120"/>
      <c r="AJ94" s="120"/>
      <c r="AK94" s="120"/>
      <c r="AL94" s="120"/>
      <c r="AM94" s="133"/>
      <c r="AN94" s="133"/>
      <c r="AO94" s="112">
        <v>8</v>
      </c>
    </row>
    <row r="95" spans="1:41" x14ac:dyDescent="0.3">
      <c r="A95" s="112">
        <f t="shared" si="33"/>
        <v>94</v>
      </c>
      <c r="B95" s="113" t="str">
        <f t="shared" ref="B95:C97" si="45">B83</f>
        <v>January</v>
      </c>
      <c r="C95" s="113">
        <f t="shared" si="45"/>
        <v>1</v>
      </c>
      <c r="D95" s="114">
        <v>46023</v>
      </c>
      <c r="E95" s="115">
        <f t="shared" si="43"/>
        <v>2026</v>
      </c>
      <c r="F95" s="115" t="s">
        <v>1170</v>
      </c>
      <c r="G95" s="116">
        <f t="shared" si="44"/>
        <v>31</v>
      </c>
      <c r="H95" s="121">
        <f t="shared" ref="H95:I97" si="46">H83</f>
        <v>151.6</v>
      </c>
      <c r="I95" s="121">
        <f t="shared" si="46"/>
        <v>183.9</v>
      </c>
      <c r="J95" s="118"/>
      <c r="K95" s="117"/>
      <c r="L95" s="116"/>
      <c r="M95" s="119">
        <v>1068.7455519246876</v>
      </c>
      <c r="N95" s="119">
        <v>8.0208999999999993</v>
      </c>
      <c r="O95" s="120">
        <f t="shared" si="34"/>
        <v>0.72455188248968172</v>
      </c>
      <c r="P95" s="118">
        <f t="shared" si="35"/>
        <v>5.9322580645161294</v>
      </c>
      <c r="Q95" s="116">
        <f>COUNTIFS('Daily KPI'!$D:$D,D95,'Daily KPI'!$O:$O,"&gt;0")</f>
        <v>0</v>
      </c>
      <c r="R95" s="119">
        <f t="shared" si="36"/>
        <v>0</v>
      </c>
      <c r="S95" s="119">
        <f>SUMIF($F$2:F95,F95,$R$2:R95)</f>
        <v>658.94838709677424</v>
      </c>
      <c r="T95" s="118">
        <f t="shared" si="37"/>
        <v>34.475662965312502</v>
      </c>
      <c r="U95" s="119">
        <f t="shared" si="38"/>
        <v>0</v>
      </c>
      <c r="V95" s="119">
        <f>SUMIF($F$2:F95,F95,$U$2:U95)</f>
        <v>3640.4572760587675</v>
      </c>
      <c r="W95" s="120">
        <f t="shared" si="39"/>
        <v>0.17909286450248987</v>
      </c>
      <c r="X95" s="120" t="str">
        <f t="shared" si="31"/>
        <v/>
      </c>
      <c r="Y95" s="120">
        <f t="shared" si="32"/>
        <v>0.15129047347383159</v>
      </c>
      <c r="Z95" s="118" t="str">
        <f>IFERROR(AVERAGEIF('Daily KPI'!$D:$D,Table14[[#This Row],[Month]],'Daily KPI'!$AB:$AB),"")</f>
        <v/>
      </c>
      <c r="AA95" s="121">
        <f>IFERROR(AVERAGEIF($F$2:F95,F95,$N$2:N95),"")</f>
        <v>8.0208999999999993</v>
      </c>
      <c r="AB95" s="119"/>
      <c r="AC95" s="118"/>
      <c r="AD95" s="118"/>
      <c r="AE95" s="120">
        <v>0.98040000000000005</v>
      </c>
      <c r="AF95" s="120">
        <v>0.98</v>
      </c>
      <c r="AG95" s="120"/>
      <c r="AH95" s="120"/>
      <c r="AI95" s="120"/>
      <c r="AJ95" s="120"/>
      <c r="AK95" s="120"/>
      <c r="AL95" s="120"/>
      <c r="AM95" s="133"/>
      <c r="AN95" s="133"/>
      <c r="AO95" s="112">
        <v>8</v>
      </c>
    </row>
    <row r="96" spans="1:41" x14ac:dyDescent="0.3">
      <c r="A96" s="112">
        <f t="shared" si="33"/>
        <v>95</v>
      </c>
      <c r="B96" s="113" t="str">
        <f t="shared" si="45"/>
        <v>February</v>
      </c>
      <c r="C96" s="113">
        <f t="shared" si="45"/>
        <v>2</v>
      </c>
      <c r="D96" s="114">
        <v>46054</v>
      </c>
      <c r="E96" s="115">
        <f t="shared" si="43"/>
        <v>2026</v>
      </c>
      <c r="F96" s="115" t="s">
        <v>1170</v>
      </c>
      <c r="G96" s="116">
        <f t="shared" si="44"/>
        <v>28</v>
      </c>
      <c r="H96" s="121">
        <f t="shared" si="46"/>
        <v>159.9</v>
      </c>
      <c r="I96" s="121">
        <f t="shared" si="46"/>
        <v>184</v>
      </c>
      <c r="J96" s="118"/>
      <c r="K96" s="117"/>
      <c r="L96" s="116"/>
      <c r="M96" s="119">
        <v>951.70152615819507</v>
      </c>
      <c r="N96" s="119">
        <v>8.0208999999999993</v>
      </c>
      <c r="O96" s="120">
        <f t="shared" si="34"/>
        <v>0.64485168784471436</v>
      </c>
      <c r="P96" s="118">
        <f t="shared" si="35"/>
        <v>6.5714285714285712</v>
      </c>
      <c r="Q96" s="116">
        <f>COUNTIFS('Daily KPI'!$D:$D,D96,'Daily KPI'!$O:$O,"&gt;0")</f>
        <v>0</v>
      </c>
      <c r="R96" s="119">
        <f t="shared" si="36"/>
        <v>0</v>
      </c>
      <c r="S96" s="119">
        <f>SUMIF($F$2:F97,F96,$R$2:R97)</f>
        <v>658.94838709677424</v>
      </c>
      <c r="T96" s="118">
        <f t="shared" si="37"/>
        <v>33.989340219935535</v>
      </c>
      <c r="U96" s="119">
        <f t="shared" si="38"/>
        <v>0</v>
      </c>
      <c r="V96" s="119">
        <f>SUMIF($F$2:F97,F96,$U$2:U97)</f>
        <v>3640.4572760587675</v>
      </c>
      <c r="W96" s="120">
        <f t="shared" si="39"/>
        <v>0.17656653357652891</v>
      </c>
      <c r="X96" s="120" t="str">
        <f t="shared" si="31"/>
        <v/>
      </c>
      <c r="Y96" s="120">
        <f t="shared" si="32"/>
        <v>0.15129047347383159</v>
      </c>
      <c r="Z96" s="118" t="str">
        <f>IFERROR(AVERAGEIF('Daily KPI'!$D:$D,Table14[[#This Row],[Month]],'Daily KPI'!$AB:$AB),"")</f>
        <v/>
      </c>
      <c r="AA96" s="121">
        <f>IFERROR(AVERAGEIF($F$2:F97,F96,$N$2:N97),"")</f>
        <v>8.0208999999999993</v>
      </c>
      <c r="AB96" s="119"/>
      <c r="AC96" s="118"/>
      <c r="AD96" s="118"/>
      <c r="AE96" s="120">
        <v>0.98040000000000005</v>
      </c>
      <c r="AF96" s="120">
        <v>0.98</v>
      </c>
      <c r="AG96" s="120"/>
      <c r="AH96" s="120"/>
      <c r="AI96" s="120"/>
      <c r="AJ96" s="120"/>
      <c r="AK96" s="120"/>
      <c r="AL96" s="120"/>
      <c r="AM96" s="133"/>
      <c r="AN96" s="133"/>
      <c r="AO96" s="112">
        <v>8</v>
      </c>
    </row>
    <row r="97" spans="1:41" x14ac:dyDescent="0.3">
      <c r="A97" s="112">
        <f t="shared" si="33"/>
        <v>96</v>
      </c>
      <c r="B97" s="113" t="str">
        <f t="shared" si="45"/>
        <v>March</v>
      </c>
      <c r="C97" s="113">
        <f t="shared" si="45"/>
        <v>3</v>
      </c>
      <c r="D97" s="114">
        <v>46082</v>
      </c>
      <c r="E97" s="115">
        <f t="shared" si="43"/>
        <v>2026</v>
      </c>
      <c r="F97" s="115" t="s">
        <v>1170</v>
      </c>
      <c r="G97" s="116">
        <f>DAY(EOMONTH(D97,0))</f>
        <v>31</v>
      </c>
      <c r="H97" s="121">
        <f t="shared" si="46"/>
        <v>197.2</v>
      </c>
      <c r="I97" s="121">
        <f t="shared" si="46"/>
        <v>210.4</v>
      </c>
      <c r="J97" s="118"/>
      <c r="K97" s="117"/>
      <c r="L97" s="116"/>
      <c r="M97" s="119">
        <v>1184.7898847928143</v>
      </c>
      <c r="N97" s="119">
        <v>8.0208999999999993</v>
      </c>
      <c r="O97" s="120">
        <f>IFERROR(M97/I97/N97,"")</f>
        <v>0.70205720444645292</v>
      </c>
      <c r="P97" s="118">
        <f>IFERROR(I97/G97,"")</f>
        <v>6.7870967741935484</v>
      </c>
      <c r="Q97" s="116">
        <f>COUNTIFS('Daily KPI'!$D:$D,D97,'Daily KPI'!$O:$O,"&gt;0")</f>
        <v>0</v>
      </c>
      <c r="R97" s="119">
        <f>I97/G97*Q97</f>
        <v>0</v>
      </c>
      <c r="S97" s="119">
        <f>SUMIF($F$2:F97,F97,$R$2:R97)</f>
        <v>658.94838709677424</v>
      </c>
      <c r="T97" s="118">
        <f>M97/G97</f>
        <v>38.219028541703686</v>
      </c>
      <c r="U97" s="119">
        <f>M97/G97*Q97</f>
        <v>0</v>
      </c>
      <c r="V97" s="119">
        <f>SUMIF($F$2:F97,F97,$U$2:U97)</f>
        <v>3640.4572760587675</v>
      </c>
      <c r="W97" s="120">
        <f>IFERROR(T97/(24*N97),"")</f>
        <v>0.19853875781657757</v>
      </c>
      <c r="X97" s="120" t="str">
        <f t="shared" si="31"/>
        <v/>
      </c>
      <c r="Y97" s="120">
        <f t="shared" si="32"/>
        <v>0.15129047347383159</v>
      </c>
      <c r="Z97" s="118" t="str">
        <f>IFERROR(AVERAGEIF('Daily KPI'!$D:$D,Table14[[#This Row],[Month]],'Daily KPI'!$AB:$AB),"")</f>
        <v/>
      </c>
      <c r="AA97" s="121">
        <f>IFERROR(AVERAGEIF($F$2:F97,F97,$N$2:N97),"")</f>
        <v>8.0208999999999993</v>
      </c>
      <c r="AB97" s="119"/>
      <c r="AC97" s="118"/>
      <c r="AD97" s="118"/>
      <c r="AE97" s="120">
        <v>0.98040000000000005</v>
      </c>
      <c r="AF97" s="120">
        <v>0.98</v>
      </c>
      <c r="AG97" s="120"/>
      <c r="AH97" s="120"/>
      <c r="AI97" s="120"/>
      <c r="AJ97" s="120"/>
      <c r="AK97" s="120"/>
      <c r="AL97" s="120"/>
      <c r="AM97" s="135"/>
      <c r="AN97" s="135"/>
      <c r="AO97" s="112">
        <v>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M8"/>
  <sheetViews>
    <sheetView zoomScale="85" zoomScaleNormal="85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4.4" x14ac:dyDescent="0.3"/>
  <cols>
    <col min="2" max="2" width="17.21875" bestFit="1" customWidth="1"/>
    <col min="3" max="3" width="12.5546875" bestFit="1" customWidth="1"/>
    <col min="4" max="4" width="14.77734375" bestFit="1" customWidth="1"/>
    <col min="5" max="5" width="13.44140625" bestFit="1" customWidth="1"/>
    <col min="6" max="6" width="10.77734375" bestFit="1" customWidth="1"/>
    <col min="7" max="7" width="8.21875" customWidth="1"/>
    <col min="8" max="8" width="10.21875" bestFit="1" customWidth="1"/>
    <col min="9" max="9" width="36.77734375" customWidth="1"/>
    <col min="10" max="10" width="10.5546875" customWidth="1"/>
    <col min="11" max="11" width="15.21875" bestFit="1" customWidth="1"/>
    <col min="12" max="12" width="17.77734375" customWidth="1"/>
    <col min="13" max="13" width="39.44140625" bestFit="1" customWidth="1"/>
  </cols>
  <sheetData>
    <row r="1" spans="1:13" ht="28.8" x14ac:dyDescent="0.3">
      <c r="A1" s="7" t="s">
        <v>57</v>
      </c>
      <c r="B1" s="7" t="s">
        <v>51</v>
      </c>
      <c r="C1" s="7" t="s">
        <v>52</v>
      </c>
      <c r="D1" s="7" t="s">
        <v>53</v>
      </c>
      <c r="E1" s="7" t="s">
        <v>56</v>
      </c>
      <c r="F1" s="7" t="s">
        <v>39</v>
      </c>
      <c r="G1" s="7" t="s">
        <v>54</v>
      </c>
      <c r="H1" s="7" t="s">
        <v>40</v>
      </c>
      <c r="I1" s="14" t="s">
        <v>145</v>
      </c>
      <c r="J1" s="14" t="s">
        <v>142</v>
      </c>
      <c r="K1" s="14" t="s">
        <v>143</v>
      </c>
      <c r="L1" s="14" t="s">
        <v>144</v>
      </c>
      <c r="M1" s="14" t="s">
        <v>139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1071</v>
      </c>
      <c r="E2" s="2">
        <v>2025</v>
      </c>
      <c r="F2" s="29">
        <v>45683</v>
      </c>
      <c r="G2" s="2"/>
      <c r="H2" s="30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1071</v>
      </c>
      <c r="E3" s="2">
        <v>2025</v>
      </c>
      <c r="F3" s="29">
        <v>45683</v>
      </c>
      <c r="G3" s="2"/>
      <c r="H3" s="30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1071</v>
      </c>
      <c r="E4" s="2">
        <v>2025</v>
      </c>
      <c r="F4" s="29">
        <v>45683</v>
      </c>
      <c r="G4" s="2"/>
      <c r="H4" s="30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1071</v>
      </c>
      <c r="E5" s="2">
        <v>2025</v>
      </c>
      <c r="F5" s="29">
        <v>45683</v>
      </c>
      <c r="G5" s="2"/>
      <c r="H5" s="30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1071</v>
      </c>
      <c r="E6" s="2">
        <v>2025</v>
      </c>
      <c r="F6" s="29">
        <v>45683</v>
      </c>
      <c r="G6" s="2"/>
      <c r="H6" s="30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1071</v>
      </c>
      <c r="E7" s="2">
        <v>2025</v>
      </c>
      <c r="F7" s="29">
        <v>45683</v>
      </c>
      <c r="G7" s="2"/>
      <c r="H7" s="30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1071</v>
      </c>
      <c r="E8" s="2">
        <v>2025</v>
      </c>
      <c r="F8" s="29">
        <v>45683</v>
      </c>
      <c r="G8" s="2"/>
      <c r="H8" s="30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66C7C4-35FD-46E9-801A-3B7988B32A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Basic Data</vt:lpstr>
      <vt:lpstr>Raw Data</vt:lpstr>
      <vt:lpstr>JMR</vt:lpstr>
      <vt:lpstr>Inv_SY</vt:lpstr>
      <vt:lpstr>Inv_SY_Dev</vt:lpstr>
      <vt:lpstr>Plant BD</vt:lpstr>
      <vt:lpstr>Grid BD</vt:lpstr>
      <vt:lpstr>Mod_CL</vt:lpstr>
      <vt:lpstr>Curtailment Records</vt:lpstr>
      <vt:lpstr>Grass_Cutting</vt:lpstr>
      <vt:lpstr>Modelling New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2025-08-04T11:36:11Z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